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Eadfcsvh213\府中市共有\31_税務課市民税係\08国保\国保税\Ｂ　国保後期税(料)率表、試算ｼｰﾄ\試算\"/>
    </mc:Choice>
  </mc:AlternateContent>
  <xr:revisionPtr revIDLastSave="0" documentId="13_ncr:1_{3A5CB959-466E-42BE-B2E1-F6BBEE31AD89}" xr6:coauthVersionLast="47" xr6:coauthVersionMax="47" xr10:uidLastSave="{00000000-0000-0000-0000-000000000000}"/>
  <workbookProtection workbookAlgorithmName="SHA-512" workbookHashValue="5O78W8DuKoc1veFxdMBwc/MBAfeZR63apEQ285/KQJMlOCoEEE4oiQIAf1+Q9Hs+Ah0IjbHQOCfWhT0K8y9HvQ==" workbookSaltValue="Ffze/FOfuDWzsbVQtNuzFQ==" workbookSpinCount="100000" lockStructure="1"/>
  <bookViews>
    <workbookView xWindow="-120" yWindow="-120" windowWidth="29040" windowHeight="15720" xr2:uid="{00000000-000D-0000-FFFF-FFFF00000000}"/>
  </bookViews>
  <sheets>
    <sheet name="府中市国保税2026年度" sheetId="1" r:id="rId1"/>
  </sheets>
  <definedNames>
    <definedName name="_xlnm.Print_Area" localSheetId="0">府中市国保税2026年度!$A$1:$L$38</definedName>
    <definedName name="加入月" localSheetId="0">府中市国保税2026年度!$X$63:$Y$74</definedName>
    <definedName name="給与" localSheetId="0">府中市国保税2026年度!$N$62:$R$78</definedName>
    <definedName name="年金64歳まで" localSheetId="0">府中市国保税2026年度!$T$62:$V$68</definedName>
    <definedName name="年金65歳以上" localSheetId="0">府中市国保税2026年度!$T$70:$V$76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50" i="1" l="1"/>
  <c r="AA49" i="1"/>
  <c r="AA48" i="1"/>
  <c r="AA47" i="1"/>
  <c r="O23" i="1"/>
  <c r="O21" i="1"/>
  <c r="O19" i="1"/>
  <c r="O17" i="1"/>
  <c r="O15" i="1"/>
  <c r="O13" i="1"/>
  <c r="O11" i="1"/>
  <c r="O9" i="1"/>
  <c r="B15" i="1"/>
  <c r="S50" i="1" l="1"/>
  <c r="R50" i="1"/>
  <c r="Q50" i="1"/>
  <c r="P50" i="1"/>
  <c r="AF50" i="1" s="1"/>
  <c r="O50" i="1"/>
  <c r="S49" i="1"/>
  <c r="R49" i="1"/>
  <c r="Q49" i="1"/>
  <c r="P49" i="1"/>
  <c r="AF49" i="1" s="1"/>
  <c r="O49" i="1"/>
  <c r="S48" i="1"/>
  <c r="R48" i="1"/>
  <c r="Q48" i="1"/>
  <c r="P48" i="1"/>
  <c r="AF48" i="1" s="1"/>
  <c r="O48" i="1"/>
  <c r="S47" i="1"/>
  <c r="R47" i="1"/>
  <c r="Q47" i="1"/>
  <c r="P47" i="1"/>
  <c r="AF47" i="1" s="1"/>
  <c r="O47" i="1"/>
  <c r="S46" i="1"/>
  <c r="R46" i="1"/>
  <c r="Q46" i="1"/>
  <c r="P46" i="1"/>
  <c r="AF46" i="1" s="1"/>
  <c r="O46" i="1"/>
  <c r="S45" i="1"/>
  <c r="R45" i="1"/>
  <c r="Q45" i="1"/>
  <c r="P45" i="1"/>
  <c r="AF45" i="1" s="1"/>
  <c r="O45" i="1"/>
  <c r="S44" i="1"/>
  <c r="R44" i="1"/>
  <c r="Q44" i="1"/>
  <c r="P44" i="1"/>
  <c r="AF44" i="1" s="1"/>
  <c r="O44" i="1"/>
  <c r="S43" i="1"/>
  <c r="R43" i="1"/>
  <c r="Q43" i="1"/>
  <c r="P43" i="1"/>
  <c r="AF43" i="1" s="1"/>
  <c r="O43" i="1"/>
  <c r="R24" i="1"/>
  <c r="AC23" i="1"/>
  <c r="AB23" i="1"/>
  <c r="T23" i="1"/>
  <c r="V50" i="1" s="1"/>
  <c r="R23" i="1"/>
  <c r="S23" i="1" s="1"/>
  <c r="U50" i="1" s="1"/>
  <c r="P24" i="1"/>
  <c r="R22" i="1"/>
  <c r="B22" i="1"/>
  <c r="N50" i="1" s="1"/>
  <c r="AC21" i="1"/>
  <c r="AB21" i="1"/>
  <c r="T21" i="1"/>
  <c r="V49" i="1" s="1"/>
  <c r="R21" i="1"/>
  <c r="S22" i="1" s="1"/>
  <c r="P22" i="1"/>
  <c r="B21" i="1"/>
  <c r="N49" i="1" s="1"/>
  <c r="R20" i="1"/>
  <c r="B20" i="1"/>
  <c r="N48" i="1" s="1"/>
  <c r="AC19" i="1"/>
  <c r="AB19" i="1"/>
  <c r="T19" i="1"/>
  <c r="V48" i="1" s="1"/>
  <c r="R19" i="1"/>
  <c r="S20" i="1" s="1"/>
  <c r="P20" i="1"/>
  <c r="B19" i="1"/>
  <c r="N47" i="1" s="1"/>
  <c r="R18" i="1"/>
  <c r="B18" i="1"/>
  <c r="N46" i="1" s="1"/>
  <c r="AC17" i="1"/>
  <c r="AB17" i="1"/>
  <c r="T17" i="1"/>
  <c r="V47" i="1" s="1"/>
  <c r="R17" i="1"/>
  <c r="S18" i="1" s="1"/>
  <c r="P18" i="1"/>
  <c r="B17" i="1"/>
  <c r="N45" i="1" s="1"/>
  <c r="R16" i="1"/>
  <c r="B16" i="1"/>
  <c r="AC15" i="1"/>
  <c r="AB15" i="1"/>
  <c r="T15" i="1"/>
  <c r="V46" i="1" s="1"/>
  <c r="R15" i="1"/>
  <c r="S15" i="1" s="1"/>
  <c r="U46" i="1" s="1"/>
  <c r="R14" i="1"/>
  <c r="AC13" i="1"/>
  <c r="AB13" i="1"/>
  <c r="T13" i="1"/>
  <c r="V45" i="1" s="1"/>
  <c r="R13" i="1"/>
  <c r="S14" i="1" s="1"/>
  <c r="R12" i="1"/>
  <c r="AC11" i="1"/>
  <c r="T11" i="1"/>
  <c r="V44" i="1" s="1"/>
  <c r="R11" i="1"/>
  <c r="S11" i="1" s="1"/>
  <c r="U44" i="1" s="1"/>
  <c r="R10" i="1"/>
  <c r="AC9" i="1"/>
  <c r="T9" i="1"/>
  <c r="V43" i="1" s="1"/>
  <c r="R9" i="1"/>
  <c r="S10" i="1" s="1"/>
  <c r="AB49" i="1" l="1"/>
  <c r="AB50" i="1"/>
  <c r="AB48" i="1"/>
  <c r="P23" i="1"/>
  <c r="O24" i="1" s="1"/>
  <c r="Q23" i="1" s="1"/>
  <c r="P17" i="1"/>
  <c r="O18" i="1" s="1"/>
  <c r="Q17" i="1" s="1"/>
  <c r="U17" i="1" s="1"/>
  <c r="S17" i="1"/>
  <c r="U47" i="1" s="1"/>
  <c r="P19" i="1"/>
  <c r="AG48" i="1"/>
  <c r="AG49" i="1"/>
  <c r="AG50" i="1"/>
  <c r="AB47" i="1"/>
  <c r="AG47" i="1"/>
  <c r="N43" i="1"/>
  <c r="C27" i="1"/>
  <c r="D27" i="1" s="1"/>
  <c r="S16" i="1"/>
  <c r="O20" i="1"/>
  <c r="Q19" i="1" s="1"/>
  <c r="U20" i="1" s="1"/>
  <c r="AG46" i="1"/>
  <c r="AB46" i="1"/>
  <c r="AB45" i="1"/>
  <c r="S9" i="1"/>
  <c r="U43" i="1" s="1"/>
  <c r="AG45" i="1"/>
  <c r="AG44" i="1"/>
  <c r="AG43" i="1"/>
  <c r="P16" i="1"/>
  <c r="P15" i="1"/>
  <c r="N44" i="1"/>
  <c r="S12" i="1"/>
  <c r="P11" i="1"/>
  <c r="P12" i="1"/>
  <c r="S13" i="1"/>
  <c r="U45" i="1" s="1"/>
  <c r="S19" i="1"/>
  <c r="U48" i="1" s="1"/>
  <c r="P21" i="1"/>
  <c r="O22" i="1" s="1"/>
  <c r="Q21" i="1" s="1"/>
  <c r="S24" i="1"/>
  <c r="AD43" i="1"/>
  <c r="AH43" i="1"/>
  <c r="AD44" i="1"/>
  <c r="AH44" i="1"/>
  <c r="AD45" i="1"/>
  <c r="AH45" i="1"/>
  <c r="AD46" i="1"/>
  <c r="AH46" i="1"/>
  <c r="AD47" i="1"/>
  <c r="AH47" i="1"/>
  <c r="AD48" i="1"/>
  <c r="AH48" i="1"/>
  <c r="AD49" i="1"/>
  <c r="AH49" i="1"/>
  <c r="AD50" i="1"/>
  <c r="AH50" i="1"/>
  <c r="S21" i="1"/>
  <c r="U49" i="1" s="1"/>
  <c r="AE43" i="1"/>
  <c r="AI43" i="1"/>
  <c r="AE44" i="1"/>
  <c r="AI44" i="1"/>
  <c r="AE45" i="1"/>
  <c r="AI45" i="1"/>
  <c r="AE46" i="1"/>
  <c r="AI46" i="1"/>
  <c r="AE47" i="1"/>
  <c r="AI47" i="1"/>
  <c r="AE48" i="1"/>
  <c r="AI48" i="1"/>
  <c r="AE49" i="1"/>
  <c r="AI49" i="1"/>
  <c r="AE50" i="1"/>
  <c r="AI50" i="1"/>
  <c r="T47" i="1" l="1"/>
  <c r="W47" i="1" s="1"/>
  <c r="U18" i="1"/>
  <c r="U23" i="1"/>
  <c r="V23" i="1" s="1"/>
  <c r="W23" i="1" s="1"/>
  <c r="T50" i="1"/>
  <c r="W50" i="1" s="1"/>
  <c r="X19" i="1"/>
  <c r="X17" i="1"/>
  <c r="X23" i="1"/>
  <c r="U24" i="1"/>
  <c r="X50" i="1"/>
  <c r="Z50" i="1" s="1"/>
  <c r="T48" i="1"/>
  <c r="X48" i="1" s="1"/>
  <c r="P10" i="1"/>
  <c r="P13" i="1"/>
  <c r="P14" i="1"/>
  <c r="P9" i="1"/>
  <c r="U19" i="1"/>
  <c r="V17" i="1"/>
  <c r="W17" i="1" s="1"/>
  <c r="U21" i="1"/>
  <c r="T49" i="1"/>
  <c r="W49" i="1" s="1"/>
  <c r="U22" i="1"/>
  <c r="X21" i="1"/>
  <c r="O12" i="1"/>
  <c r="Q11" i="1" s="1"/>
  <c r="N39" i="1"/>
  <c r="O16" i="1"/>
  <c r="Q15" i="1" s="1"/>
  <c r="X47" i="1" l="1"/>
  <c r="Z47" i="1" s="1"/>
  <c r="Y50" i="1"/>
  <c r="W48" i="1"/>
  <c r="Z48" i="1"/>
  <c r="Y48" i="1"/>
  <c r="O10" i="1"/>
  <c r="Q9" i="1" s="1"/>
  <c r="T43" i="1" s="1"/>
  <c r="W43" i="1" s="1"/>
  <c r="O14" i="1"/>
  <c r="Q13" i="1" s="1"/>
  <c r="U11" i="1"/>
  <c r="T44" i="1"/>
  <c r="X11" i="1"/>
  <c r="U12" i="1"/>
  <c r="V19" i="1"/>
  <c r="W19" i="1" s="1"/>
  <c r="V21" i="1"/>
  <c r="W21" i="1" s="1"/>
  <c r="T46" i="1"/>
  <c r="U15" i="1"/>
  <c r="U16" i="1"/>
  <c r="X15" i="1"/>
  <c r="X49" i="1"/>
  <c r="Y47" i="1" l="1"/>
  <c r="X9" i="1"/>
  <c r="X43" i="1"/>
  <c r="AA43" i="1" s="1"/>
  <c r="U9" i="1"/>
  <c r="V9" i="1" s="1"/>
  <c r="W9" i="1" s="1"/>
  <c r="AB9" i="1" s="1"/>
  <c r="U10" i="1"/>
  <c r="T45" i="1"/>
  <c r="X13" i="1"/>
  <c r="U14" i="1"/>
  <c r="U13" i="1"/>
  <c r="V13" i="1" s="1"/>
  <c r="W13" i="1" s="1"/>
  <c r="V15" i="1"/>
  <c r="W15" i="1" s="1"/>
  <c r="W44" i="1"/>
  <c r="X44" i="1"/>
  <c r="AA44" i="1" s="1"/>
  <c r="W46" i="1"/>
  <c r="X46" i="1"/>
  <c r="AA46" i="1" s="1"/>
  <c r="V11" i="1"/>
  <c r="W11" i="1" s="1"/>
  <c r="AB11" i="1" s="1"/>
  <c r="Y49" i="1"/>
  <c r="Z49" i="1"/>
  <c r="AB44" i="1" l="1"/>
  <c r="Y44" i="1"/>
  <c r="AB43" i="1"/>
  <c r="Y43" i="1"/>
  <c r="W45" i="1"/>
  <c r="X45" i="1"/>
  <c r="AA45" i="1" s="1"/>
  <c r="Z43" i="1"/>
  <c r="Z44" i="1"/>
  <c r="Z46" i="1"/>
  <c r="Y46" i="1"/>
  <c r="Y45" i="1" l="1"/>
  <c r="AA51" i="1"/>
  <c r="AA52" i="1" s="1"/>
  <c r="AA54" i="1" s="1"/>
  <c r="D33" i="1" s="1"/>
  <c r="Z45" i="1"/>
  <c r="Z51" i="1" s="1"/>
  <c r="Z52" i="1" s="1"/>
  <c r="Z54" i="1" s="1"/>
  <c r="D32" i="1" s="1"/>
  <c r="AB51" i="1"/>
  <c r="AB52" i="1" s="1"/>
  <c r="AB54" i="1" s="1"/>
  <c r="D34" i="1" s="1"/>
  <c r="Y51" i="1"/>
  <c r="Y52" i="1" s="1"/>
  <c r="Y54" i="1" l="1"/>
  <c r="AB53" i="1"/>
  <c r="AB55" i="1" l="1"/>
  <c r="D30" i="1" s="1"/>
  <c r="D36" i="1" s="1"/>
  <c r="D31" i="1"/>
</calcChain>
</file>

<file path=xl/sharedStrings.xml><?xml version="1.0" encoding="utf-8"?>
<sst xmlns="http://schemas.openxmlformats.org/spreadsheetml/2006/main" count="109" uniqueCount="91">
  <si>
    <r>
      <t>　右の</t>
    </r>
    <r>
      <rPr>
        <b/>
        <sz val="14"/>
        <color rgb="FF7030A0"/>
        <rFont val="ＭＳ 明朝"/>
        <family val="1"/>
        <charset val="128"/>
      </rPr>
      <t>紫枠</t>
    </r>
    <r>
      <rPr>
        <sz val="14"/>
        <color rgb="FF000000"/>
        <rFont val="ＭＳ 明朝"/>
        <family val="1"/>
        <charset val="128"/>
      </rPr>
      <t>内の</t>
    </r>
    <r>
      <rPr>
        <b/>
        <sz val="14"/>
        <color rgb="FFFF0000"/>
        <rFont val="ＭＳ 明朝"/>
        <family val="1"/>
        <charset val="128"/>
      </rPr>
      <t>＜入力の注意＞</t>
    </r>
    <r>
      <rPr>
        <sz val="14"/>
        <color rgb="FF000000"/>
        <rFont val="ＭＳ 明朝"/>
        <family val="1"/>
        <charset val="128"/>
      </rPr>
      <t>を読んで、</t>
    </r>
    <r>
      <rPr>
        <b/>
        <sz val="14"/>
        <color rgb="FFFF0000"/>
        <rFont val="ＭＳ 明朝"/>
        <family val="1"/>
        <charset val="128"/>
      </rPr>
      <t>①～④</t>
    </r>
    <r>
      <rPr>
        <sz val="14"/>
        <color rgb="FF000000"/>
        <rFont val="ＭＳ 明朝"/>
        <family val="1"/>
        <charset val="128"/>
      </rPr>
      <t>を入力してください。</t>
    </r>
    <rPh sb="1" eb="2">
      <t>ミギ</t>
    </rPh>
    <rPh sb="3" eb="4">
      <t>ムラサキ</t>
    </rPh>
    <rPh sb="4" eb="5">
      <t>ワク</t>
    </rPh>
    <rPh sb="5" eb="6">
      <t>ナイ</t>
    </rPh>
    <rPh sb="8" eb="10">
      <t>ニュウリョク</t>
    </rPh>
    <rPh sb="11" eb="13">
      <t>チュウイ</t>
    </rPh>
    <rPh sb="15" eb="16">
      <t>ヨ</t>
    </rPh>
    <rPh sb="23" eb="25">
      <t>ニュウリョク</t>
    </rPh>
    <phoneticPr fontId="5"/>
  </si>
  <si>
    <t>国保加入年月</t>
    <rPh sb="0" eb="1">
      <t>コク</t>
    </rPh>
    <rPh sb="1" eb="2">
      <t>ホ</t>
    </rPh>
    <rPh sb="2" eb="4">
      <t>カニュウ</t>
    </rPh>
    <rPh sb="4" eb="5">
      <t>ネン</t>
    </rPh>
    <rPh sb="5" eb="6">
      <t>ツキ</t>
    </rPh>
    <phoneticPr fontId="5"/>
  </si>
  <si>
    <t>医療分・後期分</t>
    <rPh sb="0" eb="2">
      <t>イリョウ</t>
    </rPh>
    <rPh sb="2" eb="3">
      <t>ブン</t>
    </rPh>
    <phoneticPr fontId="15"/>
  </si>
  <si>
    <t>介護分</t>
    <phoneticPr fontId="5"/>
  </si>
  <si>
    <t>給与所得</t>
    <rPh sb="0" eb="2">
      <t>キュウヨ</t>
    </rPh>
    <rPh sb="2" eb="4">
      <t>ショトク</t>
    </rPh>
    <phoneticPr fontId="15"/>
  </si>
  <si>
    <t>調整控除計算</t>
    <rPh sb="0" eb="2">
      <t>チョウセイ</t>
    </rPh>
    <rPh sb="2" eb="4">
      <t>コウジョ</t>
    </rPh>
    <rPh sb="4" eb="6">
      <t>ケイサン</t>
    </rPh>
    <phoneticPr fontId="15"/>
  </si>
  <si>
    <t>給与所得判定①</t>
    <rPh sb="0" eb="2">
      <t>キュウヨ</t>
    </rPh>
    <rPh sb="2" eb="4">
      <t>ショトク</t>
    </rPh>
    <rPh sb="4" eb="6">
      <t>ハンテイ</t>
    </rPh>
    <phoneticPr fontId="15"/>
  </si>
  <si>
    <t>年金所得</t>
    <rPh sb="0" eb="2">
      <t>ネンキン</t>
    </rPh>
    <rPh sb="2" eb="4">
      <t>ショトク</t>
    </rPh>
    <phoneticPr fontId="15"/>
  </si>
  <si>
    <t>年金所得判定②
軽減用年金所得</t>
    <rPh sb="0" eb="2">
      <t>ネンキン</t>
    </rPh>
    <rPh sb="2" eb="4">
      <t>ショトク</t>
    </rPh>
    <rPh sb="4" eb="6">
      <t>ハンテイ</t>
    </rPh>
    <rPh sb="8" eb="10">
      <t>ケイゲン</t>
    </rPh>
    <rPh sb="10" eb="11">
      <t>ヨウ</t>
    </rPh>
    <rPh sb="11" eb="13">
      <t>ネンキン</t>
    </rPh>
    <rPh sb="13" eb="15">
      <t>ショトク</t>
    </rPh>
    <phoneticPr fontId="15"/>
  </si>
  <si>
    <t>その他の所得③</t>
    <rPh sb="2" eb="3">
      <t>タ</t>
    </rPh>
    <rPh sb="4" eb="6">
      <t>ショトク</t>
    </rPh>
    <phoneticPr fontId="15"/>
  </si>
  <si>
    <t>所得計(①+②+③)
軽減判定用所得計</t>
    <rPh sb="0" eb="2">
      <t>ショトク</t>
    </rPh>
    <rPh sb="2" eb="3">
      <t>ケイ</t>
    </rPh>
    <rPh sb="11" eb="13">
      <t>ケイゲン</t>
    </rPh>
    <rPh sb="13" eb="15">
      <t>ハンテイ</t>
    </rPh>
    <rPh sb="15" eb="16">
      <t>ヨウ</t>
    </rPh>
    <rPh sb="16" eb="18">
      <t>ショトク</t>
    </rPh>
    <rPh sb="18" eb="19">
      <t>ケイ</t>
    </rPh>
    <phoneticPr fontId="15"/>
  </si>
  <si>
    <t>43万円控除</t>
    <rPh sb="2" eb="3">
      <t>マン</t>
    </rPh>
    <rPh sb="3" eb="4">
      <t>エン</t>
    </rPh>
    <rPh sb="4" eb="6">
      <t>コウジョ</t>
    </rPh>
    <phoneticPr fontId="15"/>
  </si>
  <si>
    <t>43万円控除後判定</t>
    <rPh sb="2" eb="4">
      <t>マンエン</t>
    </rPh>
    <rPh sb="4" eb="6">
      <t>コウジョ</t>
    </rPh>
    <rPh sb="6" eb="7">
      <t>ゴ</t>
    </rPh>
    <rPh sb="7" eb="9">
      <t>ハンテイ</t>
    </rPh>
    <phoneticPr fontId="15"/>
  </si>
  <si>
    <t>給与所得者等該当</t>
    <rPh sb="0" eb="2">
      <t>キュウヨ</t>
    </rPh>
    <rPh sb="2" eb="4">
      <t>ショトク</t>
    </rPh>
    <rPh sb="4" eb="5">
      <t>シャ</t>
    </rPh>
    <rPh sb="5" eb="6">
      <t>トウ</t>
    </rPh>
    <rPh sb="6" eb="8">
      <t>ガイトウ</t>
    </rPh>
    <phoneticPr fontId="15"/>
  </si>
  <si>
    <t>介護該当人数</t>
    <rPh sb="0" eb="2">
      <t>カイゴ</t>
    </rPh>
    <rPh sb="2" eb="4">
      <t>ガイトウ</t>
    </rPh>
    <rPh sb="4" eb="6">
      <t>ニンズウ</t>
    </rPh>
    <phoneticPr fontId="15"/>
  </si>
  <si>
    <t>世帯員１</t>
    <rPh sb="0" eb="3">
      <t>セタイイン</t>
    </rPh>
    <phoneticPr fontId="15"/>
  </si>
  <si>
    <t>世帯員２</t>
    <rPh sb="0" eb="3">
      <t>セタイイン</t>
    </rPh>
    <phoneticPr fontId="15"/>
  </si>
  <si>
    <t>世帯員３</t>
    <rPh sb="0" eb="3">
      <t>セタイイン</t>
    </rPh>
    <phoneticPr fontId="15"/>
  </si>
  <si>
    <t>加入状況</t>
    <rPh sb="0" eb="2">
      <t>カニュウ</t>
    </rPh>
    <rPh sb="2" eb="4">
      <t>ジョウキョウ</t>
    </rPh>
    <phoneticPr fontId="5"/>
  </si>
  <si>
    <r>
      <t xml:space="preserve">給与収入(円)
</t>
    </r>
    <r>
      <rPr>
        <b/>
        <sz val="11"/>
        <color rgb="FFFF0000"/>
        <rFont val="ＭＳ ゴシック"/>
        <family val="3"/>
        <charset val="128"/>
      </rPr>
      <t>※１</t>
    </r>
    <rPh sb="0" eb="2">
      <t>キュウヨ</t>
    </rPh>
    <rPh sb="2" eb="4">
      <t>シュウニュウ</t>
    </rPh>
    <rPh sb="5" eb="6">
      <t>エン</t>
    </rPh>
    <phoneticPr fontId="5"/>
  </si>
  <si>
    <r>
      <t>公的年金等の
収入(円)</t>
    </r>
    <r>
      <rPr>
        <b/>
        <sz val="11"/>
        <color rgb="FFFF0000"/>
        <rFont val="ＭＳ ゴシック"/>
        <family val="3"/>
        <charset val="128"/>
      </rPr>
      <t>※１</t>
    </r>
    <rPh sb="0" eb="2">
      <t>コウテキ</t>
    </rPh>
    <rPh sb="2" eb="4">
      <t>ネンキン</t>
    </rPh>
    <rPh sb="4" eb="5">
      <t>トウ</t>
    </rPh>
    <rPh sb="7" eb="9">
      <t>シュウニュウ</t>
    </rPh>
    <rPh sb="10" eb="11">
      <t>エン</t>
    </rPh>
    <phoneticPr fontId="5"/>
  </si>
  <si>
    <r>
      <t>その他の所得(円)</t>
    </r>
    <r>
      <rPr>
        <b/>
        <sz val="11"/>
        <color rgb="FFFF0000"/>
        <rFont val="ＭＳ ゴシック"/>
        <family val="3"/>
        <charset val="128"/>
      </rPr>
      <t>※２</t>
    </r>
    <rPh sb="2" eb="3">
      <t>タ</t>
    </rPh>
    <rPh sb="4" eb="6">
      <t>ショトク</t>
    </rPh>
    <rPh sb="7" eb="8">
      <t>エン</t>
    </rPh>
    <phoneticPr fontId="5"/>
  </si>
  <si>
    <r>
      <t>非自発的失業者
軽減の有無</t>
    </r>
    <r>
      <rPr>
        <b/>
        <sz val="11"/>
        <color rgb="FFFF0000"/>
        <rFont val="ＭＳ ゴシック"/>
        <family val="3"/>
        <charset val="128"/>
      </rPr>
      <t>※３</t>
    </r>
    <rPh sb="0" eb="1">
      <t>ヒ</t>
    </rPh>
    <rPh sb="1" eb="3">
      <t>ジハツ</t>
    </rPh>
    <rPh sb="3" eb="4">
      <t>テキ</t>
    </rPh>
    <rPh sb="4" eb="6">
      <t>シツギョウ</t>
    </rPh>
    <rPh sb="6" eb="7">
      <t>シャ</t>
    </rPh>
    <rPh sb="8" eb="10">
      <t>ケイゲン</t>
    </rPh>
    <rPh sb="11" eb="13">
      <t>ウム</t>
    </rPh>
    <phoneticPr fontId="5"/>
  </si>
  <si>
    <t>世帯員４</t>
    <rPh sb="0" eb="3">
      <t>セタイイン</t>
    </rPh>
    <phoneticPr fontId="15"/>
  </si>
  <si>
    <t>世帯員５</t>
    <rPh sb="0" eb="3">
      <t>セタイイン</t>
    </rPh>
    <phoneticPr fontId="15"/>
  </si>
  <si>
    <t>世帯員６</t>
    <rPh sb="0" eb="3">
      <t>セタイイン</t>
    </rPh>
    <phoneticPr fontId="15"/>
  </si>
  <si>
    <t>世帯員７</t>
    <rPh sb="0" eb="3">
      <t>セタイイン</t>
    </rPh>
    <phoneticPr fontId="15"/>
  </si>
  <si>
    <t>世帯員８</t>
    <rPh sb="0" eb="3">
      <t>セタイイン</t>
    </rPh>
    <phoneticPr fontId="15"/>
  </si>
  <si>
    <t>国保に加入された場合、</t>
    <rPh sb="0" eb="2">
      <t>コクホ</t>
    </rPh>
    <rPh sb="3" eb="5">
      <t>カニュウ</t>
    </rPh>
    <rPh sb="8" eb="10">
      <t>バアイ</t>
    </rPh>
    <phoneticPr fontId="5"/>
  </si>
  <si>
    <t>国保税額</t>
    <rPh sb="0" eb="1">
      <t>コク</t>
    </rPh>
    <rPh sb="1" eb="2">
      <t>ホ</t>
    </rPh>
    <rPh sb="2" eb="3">
      <t>ゼイ</t>
    </rPh>
    <rPh sb="3" eb="4">
      <t>ガク</t>
    </rPh>
    <phoneticPr fontId="5"/>
  </si>
  <si>
    <t>( 内　医療分</t>
    <rPh sb="2" eb="3">
      <t>ウチ</t>
    </rPh>
    <rPh sb="4" eb="6">
      <t>イリョウ</t>
    </rPh>
    <rPh sb="6" eb="7">
      <t>ブン</t>
    </rPh>
    <phoneticPr fontId="5"/>
  </si>
  <si>
    <t>( 内　支援分</t>
    <rPh sb="2" eb="3">
      <t>ウチ</t>
    </rPh>
    <rPh sb="4" eb="6">
      <t>シエン</t>
    </rPh>
    <rPh sb="6" eb="7">
      <t>ブン</t>
    </rPh>
    <phoneticPr fontId="5"/>
  </si>
  <si>
    <t>( 内　介護分</t>
    <rPh sb="2" eb="3">
      <t>ウチ</t>
    </rPh>
    <rPh sb="4" eb="6">
      <t>カイゴ</t>
    </rPh>
    <rPh sb="6" eb="7">
      <t>ブン</t>
    </rPh>
    <phoneticPr fontId="5"/>
  </si>
  <si>
    <t>○任意継続等と比較される場合</t>
    <rPh sb="1" eb="3">
      <t>ニンイ</t>
    </rPh>
    <rPh sb="3" eb="5">
      <t>ケイゾク</t>
    </rPh>
    <rPh sb="5" eb="6">
      <t>ナド</t>
    </rPh>
    <rPh sb="7" eb="9">
      <t>ヒカク</t>
    </rPh>
    <rPh sb="12" eb="14">
      <t>バアイ</t>
    </rPh>
    <phoneticPr fontId="5"/>
  </si>
  <si>
    <t>１か月あたり</t>
    <rPh sb="2" eb="3">
      <t>ゲツ</t>
    </rPh>
    <phoneticPr fontId="5"/>
  </si>
  <si>
    <t>国保税計算</t>
    <rPh sb="0" eb="1">
      <t>コク</t>
    </rPh>
    <rPh sb="1" eb="2">
      <t>ホ</t>
    </rPh>
    <rPh sb="2" eb="3">
      <t>ゼイ</t>
    </rPh>
    <rPh sb="3" eb="5">
      <t>ケイサン</t>
    </rPh>
    <phoneticPr fontId="5"/>
  </si>
  <si>
    <t>年税額</t>
    <rPh sb="0" eb="3">
      <t>ネンゼイガク</t>
    </rPh>
    <phoneticPr fontId="5"/>
  </si>
  <si>
    <t>加入者</t>
    <rPh sb="0" eb="2">
      <t>カニュウ</t>
    </rPh>
    <rPh sb="2" eb="3">
      <t>シャ</t>
    </rPh>
    <phoneticPr fontId="5"/>
  </si>
  <si>
    <t>年齢</t>
    <rPh sb="0" eb="2">
      <t>ネンレイ</t>
    </rPh>
    <phoneticPr fontId="5"/>
  </si>
  <si>
    <t>給与収入</t>
    <rPh sb="0" eb="2">
      <t>キュウヨ</t>
    </rPh>
    <rPh sb="2" eb="4">
      <t>シュウニュウ</t>
    </rPh>
    <phoneticPr fontId="5"/>
  </si>
  <si>
    <t>年金収入</t>
    <rPh sb="0" eb="2">
      <t>ネンキン</t>
    </rPh>
    <rPh sb="2" eb="4">
      <t>シュウニュウ</t>
    </rPh>
    <phoneticPr fontId="5"/>
  </si>
  <si>
    <t>他の所得</t>
    <rPh sb="0" eb="1">
      <t>タ</t>
    </rPh>
    <rPh sb="2" eb="4">
      <t>ショトク</t>
    </rPh>
    <phoneticPr fontId="5"/>
  </si>
  <si>
    <t>特例対象</t>
    <rPh sb="0" eb="2">
      <t>トクレイ</t>
    </rPh>
    <rPh sb="2" eb="4">
      <t>タイショウ</t>
    </rPh>
    <phoneticPr fontId="5"/>
  </si>
  <si>
    <t>給与所得</t>
    <rPh sb="0" eb="2">
      <t>キュウヨ</t>
    </rPh>
    <rPh sb="2" eb="4">
      <t>ショトク</t>
    </rPh>
    <phoneticPr fontId="5"/>
  </si>
  <si>
    <t>年金所得</t>
    <rPh sb="0" eb="2">
      <t>ネンキン</t>
    </rPh>
    <rPh sb="2" eb="4">
      <t>ショトク</t>
    </rPh>
    <phoneticPr fontId="5"/>
  </si>
  <si>
    <t>所得合計</t>
    <rPh sb="0" eb="2">
      <t>ショトク</t>
    </rPh>
    <rPh sb="2" eb="4">
      <t>ゴウケイ</t>
    </rPh>
    <phoneticPr fontId="5"/>
  </si>
  <si>
    <t>課税標準</t>
    <rPh sb="0" eb="2">
      <t>カゼイ</t>
    </rPh>
    <rPh sb="2" eb="4">
      <t>ヒョウジュン</t>
    </rPh>
    <phoneticPr fontId="5"/>
  </si>
  <si>
    <t>医療</t>
    <rPh sb="0" eb="2">
      <t>イリョウ</t>
    </rPh>
    <phoneticPr fontId="5"/>
  </si>
  <si>
    <t>支援</t>
    <rPh sb="0" eb="2">
      <t>シエン</t>
    </rPh>
    <phoneticPr fontId="5"/>
  </si>
  <si>
    <t>介護</t>
    <rPh sb="0" eb="2">
      <t>カイゴ</t>
    </rPh>
    <phoneticPr fontId="5"/>
  </si>
  <si>
    <t>給与計算1</t>
    <rPh sb="0" eb="2">
      <t>キュウヨ</t>
    </rPh>
    <rPh sb="2" eb="4">
      <t>ケイサン</t>
    </rPh>
    <phoneticPr fontId="5"/>
  </si>
  <si>
    <t>給与計算2</t>
    <rPh sb="0" eb="2">
      <t>キュウヨ</t>
    </rPh>
    <rPh sb="2" eb="4">
      <t>ケイサン</t>
    </rPh>
    <phoneticPr fontId="5"/>
  </si>
  <si>
    <t>給与計算3</t>
    <rPh sb="0" eb="2">
      <t>キュウヨ</t>
    </rPh>
    <rPh sb="2" eb="4">
      <t>ケイサン</t>
    </rPh>
    <phoneticPr fontId="5"/>
  </si>
  <si>
    <t>給与計算4</t>
    <rPh sb="0" eb="2">
      <t>キュウヨ</t>
    </rPh>
    <rPh sb="2" eb="4">
      <t>ケイサン</t>
    </rPh>
    <phoneticPr fontId="5"/>
  </si>
  <si>
    <t>年金計算1</t>
    <rPh sb="0" eb="2">
      <t>ネンキン</t>
    </rPh>
    <rPh sb="2" eb="4">
      <t>ケイサン</t>
    </rPh>
    <phoneticPr fontId="5"/>
  </si>
  <si>
    <t>年金計算2</t>
    <rPh sb="0" eb="2">
      <t>ネンキン</t>
    </rPh>
    <rPh sb="2" eb="4">
      <t>ケイサン</t>
    </rPh>
    <phoneticPr fontId="5"/>
  </si>
  <si>
    <t>　</t>
    <phoneticPr fontId="5"/>
  </si>
  <si>
    <t>　　　</t>
    <phoneticPr fontId="5"/>
  </si>
  <si>
    <t>限度額前</t>
    <rPh sb="0" eb="2">
      <t>ゲンド</t>
    </rPh>
    <rPh sb="2" eb="3">
      <t>ガク</t>
    </rPh>
    <rPh sb="3" eb="4">
      <t>マエ</t>
    </rPh>
    <phoneticPr fontId="5"/>
  </si>
  <si>
    <t>１２か月</t>
    <rPh sb="3" eb="4">
      <t>ゲツ</t>
    </rPh>
    <phoneticPr fontId="5"/>
  </si>
  <si>
    <t>限度額後</t>
    <rPh sb="0" eb="2">
      <t>ゲンド</t>
    </rPh>
    <rPh sb="2" eb="3">
      <t>ガク</t>
    </rPh>
    <rPh sb="3" eb="4">
      <t>ゴ</t>
    </rPh>
    <phoneticPr fontId="5"/>
  </si>
  <si>
    <t>国保税率</t>
    <rPh sb="0" eb="1">
      <t>コク</t>
    </rPh>
    <rPh sb="1" eb="2">
      <t>ホ</t>
    </rPh>
    <rPh sb="2" eb="4">
      <t>ゼイリツ</t>
    </rPh>
    <phoneticPr fontId="5"/>
  </si>
  <si>
    <t>非自発的失業</t>
    <rPh sb="0" eb="1">
      <t>ヒ</t>
    </rPh>
    <rPh sb="1" eb="4">
      <t>ジハツテキ</t>
    </rPh>
    <rPh sb="4" eb="6">
      <t>シツギョウ</t>
    </rPh>
    <phoneticPr fontId="5"/>
  </si>
  <si>
    <t>医療分</t>
  </si>
  <si>
    <t>支援分</t>
  </si>
  <si>
    <t>介護分</t>
  </si>
  <si>
    <t>加入月～年度末</t>
    <rPh sb="0" eb="2">
      <t>カニュウ</t>
    </rPh>
    <rPh sb="2" eb="3">
      <t>ツキ</t>
    </rPh>
    <rPh sb="4" eb="7">
      <t>ネンドマツ</t>
    </rPh>
    <phoneticPr fontId="5"/>
  </si>
  <si>
    <t>所得割</t>
  </si>
  <si>
    <t>無</t>
    <rPh sb="0" eb="1">
      <t>ナ</t>
    </rPh>
    <phoneticPr fontId="5"/>
  </si>
  <si>
    <t>均等割　１人</t>
    <rPh sb="2" eb="3">
      <t>ワリ</t>
    </rPh>
    <phoneticPr fontId="5"/>
  </si>
  <si>
    <t>有</t>
    <rPh sb="0" eb="1">
      <t>アリ</t>
    </rPh>
    <phoneticPr fontId="5"/>
  </si>
  <si>
    <t xml:space="preserve">未就学児　１人 </t>
    <rPh sb="0" eb="4">
      <t>ミシュウガクジ</t>
    </rPh>
    <rPh sb="6" eb="7">
      <t>ニン</t>
    </rPh>
    <phoneticPr fontId="5"/>
  </si>
  <si>
    <t>平等割　世帯</t>
    <phoneticPr fontId="5"/>
  </si>
  <si>
    <t>限度額</t>
  </si>
  <si>
    <t>給与所得計算用</t>
    <rPh sb="0" eb="2">
      <t>キュウヨ</t>
    </rPh>
    <rPh sb="2" eb="4">
      <t>ショトク</t>
    </rPh>
    <rPh sb="4" eb="6">
      <t>ケイサン</t>
    </rPh>
    <rPh sb="6" eb="7">
      <t>ヨウ</t>
    </rPh>
    <phoneticPr fontId="5"/>
  </si>
  <si>
    <t>公的年金所得計算用</t>
    <rPh sb="0" eb="2">
      <t>コウテキ</t>
    </rPh>
    <rPh sb="2" eb="4">
      <t>ネンキン</t>
    </rPh>
    <rPh sb="4" eb="6">
      <t>ショトク</t>
    </rPh>
    <rPh sb="6" eb="9">
      <t>ケイサンヨウ</t>
    </rPh>
    <phoneticPr fontId="5"/>
  </si>
  <si>
    <t>国保加入月</t>
    <rPh sb="0" eb="1">
      <t>コク</t>
    </rPh>
    <rPh sb="1" eb="2">
      <t>ホ</t>
    </rPh>
    <rPh sb="2" eb="4">
      <t>カニュウ</t>
    </rPh>
    <rPh sb="4" eb="5">
      <t>ツキ</t>
    </rPh>
    <phoneticPr fontId="5"/>
  </si>
  <si>
    <t>割合</t>
    <rPh sb="0" eb="2">
      <t>ワリアイ</t>
    </rPh>
    <phoneticPr fontId="5"/>
  </si>
  <si>
    <t>切捨</t>
    <rPh sb="0" eb="2">
      <t>キリス</t>
    </rPh>
    <phoneticPr fontId="5"/>
  </si>
  <si>
    <t>乗</t>
    <rPh sb="0" eb="1">
      <t>ジョウ</t>
    </rPh>
    <phoneticPr fontId="5"/>
  </si>
  <si>
    <t>控除</t>
    <rPh sb="0" eb="2">
      <t>コウジョ</t>
    </rPh>
    <phoneticPr fontId="5"/>
  </si>
  <si>
    <t>年金64歳まで</t>
    <rPh sb="0" eb="2">
      <t>ネンキン</t>
    </rPh>
    <rPh sb="4" eb="5">
      <t>サイ</t>
    </rPh>
    <phoneticPr fontId="5"/>
  </si>
  <si>
    <t>加入年月</t>
  </si>
  <si>
    <t>加入月数</t>
  </si>
  <si>
    <t>年金65歳以上</t>
    <rPh sb="0" eb="2">
      <t>ネンキン</t>
    </rPh>
    <rPh sb="4" eb="5">
      <t>サイ</t>
    </rPh>
    <rPh sb="5" eb="7">
      <t>イジョウ</t>
    </rPh>
    <phoneticPr fontId="5"/>
  </si>
  <si>
    <r>
      <t xml:space="preserve">年齢(歳) 
</t>
    </r>
    <r>
      <rPr>
        <b/>
        <sz val="10"/>
        <color rgb="FF0000FF"/>
        <rFont val="ＭＳ 明朝"/>
        <family val="1"/>
        <charset val="128"/>
      </rPr>
      <t>令和８年　　
１月１日現在</t>
    </r>
    <rPh sb="0" eb="2">
      <t>ネンレイ</t>
    </rPh>
    <rPh sb="3" eb="4">
      <t>サイ</t>
    </rPh>
    <rPh sb="7" eb="9">
      <t>レイワ</t>
    </rPh>
    <rPh sb="10" eb="11">
      <t>ネン</t>
    </rPh>
    <rPh sb="11" eb="12">
      <t>ヘイネン</t>
    </rPh>
    <rPh sb="15" eb="16">
      <t>ガツ</t>
    </rPh>
    <rPh sb="17" eb="18">
      <t>ニチ</t>
    </rPh>
    <rPh sb="18" eb="20">
      <t>ゲンザイ</t>
    </rPh>
    <phoneticPr fontId="5"/>
  </si>
  <si>
    <t>R8年度対応済(R7年分給与所得控除改定対応済。)</t>
    <rPh sb="2" eb="4">
      <t>ネンド</t>
    </rPh>
    <rPh sb="4" eb="6">
      <t>タイオウ</t>
    </rPh>
    <rPh sb="6" eb="7">
      <t>スミ</t>
    </rPh>
    <rPh sb="10" eb="12">
      <t>ネンブン</t>
    </rPh>
    <rPh sb="12" eb="14">
      <t>キュウヨ</t>
    </rPh>
    <rPh sb="14" eb="16">
      <t>ショトク</t>
    </rPh>
    <rPh sb="16" eb="18">
      <t>コウジョ</t>
    </rPh>
    <rPh sb="18" eb="20">
      <t>カイテイ</t>
    </rPh>
    <rPh sb="20" eb="22">
      <t>タイオウ</t>
    </rPh>
    <rPh sb="22" eb="23">
      <t>スミ</t>
    </rPh>
    <phoneticPr fontId="15"/>
  </si>
  <si>
    <r>
      <rPr>
        <b/>
        <sz val="20"/>
        <color rgb="FF0000FF"/>
        <rFont val="HG丸ｺﾞｼｯｸM-PRO"/>
        <family val="3"/>
        <charset val="128"/>
      </rPr>
      <t>令和8年度</t>
    </r>
    <r>
      <rPr>
        <b/>
        <sz val="20"/>
        <color rgb="FF000000"/>
        <rFont val="HG丸ｺﾞｼｯｸM-PRO"/>
        <family val="3"/>
        <charset val="128"/>
      </rPr>
      <t>　広島県府中市 国民健康保険税の試算　</t>
    </r>
    <rPh sb="0" eb="2">
      <t>レイワ</t>
    </rPh>
    <rPh sb="3" eb="5">
      <t>ネンド</t>
    </rPh>
    <rPh sb="6" eb="8">
      <t>ヒロシマ</t>
    </rPh>
    <rPh sb="14" eb="16">
      <t>コクミン</t>
    </rPh>
    <rPh sb="16" eb="18">
      <t>ケンコウ</t>
    </rPh>
    <rPh sb="18" eb="20">
      <t>ホケン</t>
    </rPh>
    <rPh sb="20" eb="21">
      <t>ゼイ</t>
    </rPh>
    <rPh sb="22" eb="24">
      <t>シサン</t>
    </rPh>
    <phoneticPr fontId="5"/>
  </si>
  <si>
    <t>子育て支援分</t>
    <rPh sb="0" eb="2">
      <t>コソダ</t>
    </rPh>
    <rPh sb="3" eb="6">
      <t>シエンブン</t>
    </rPh>
    <phoneticPr fontId="4"/>
  </si>
  <si>
    <t>( 内　子育支援分</t>
    <rPh sb="2" eb="3">
      <t>ウチ</t>
    </rPh>
    <rPh sb="4" eb="6">
      <t>コソダ</t>
    </rPh>
    <rPh sb="6" eb="8">
      <t>シエン</t>
    </rPh>
    <rPh sb="8" eb="9">
      <t>ブン</t>
    </rPh>
    <phoneticPr fontId="5"/>
  </si>
  <si>
    <t>2028.07版</t>
    <rPh sb="7" eb="8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</si>
</sst>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\ \ \ \ \ \ \ "/>
    <numFmt numFmtId="177" formatCode="#,##0\ ;[Red]\-#,##0\ "/>
    <numFmt numFmtId="178" formatCode="0&quot;人で、&quot;"/>
    <numFmt numFmtId="179" formatCode="0&quot;か月&quot;"/>
    <numFmt numFmtId="180" formatCode="0&quot;か月間の国保税の金額は&quot;"/>
    <numFmt numFmtId="181" formatCode="#,##0&quot;円&quot;"/>
    <numFmt numFmtId="182" formatCode="#,##0&quot;円 ) &quot;"/>
    <numFmt numFmtId="183" formatCode="#,##0&quot;円   &quot;"/>
    <numFmt numFmtId="184" formatCode="&quot;国保加入月　&quot;0&quot;か月&quot;"/>
    <numFmt numFmtId="185" formatCode="#,##0.0;[Red]\-#,##0.0"/>
    <numFmt numFmtId="186" formatCode="#,##0.00_);[Red]\(#,##0.00\)"/>
    <numFmt numFmtId="187" formatCode="ggge&quot;年&quot;m&quot;月&quot;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rgb="FF000000"/>
      <name val="HG丸ｺﾞｼｯｸM-PRO"/>
      <family val="3"/>
      <charset val="128"/>
    </font>
    <font>
      <b/>
      <sz val="20"/>
      <color rgb="FF0000FF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0000FF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rgb="FFFFFFFF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ABF8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AEEF3"/>
        <bgColor rgb="FF000000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Up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38" fontId="6" fillId="0" borderId="0" xfId="1" applyFont="1" applyFill="1" applyBorder="1" applyAlignment="1" applyProtection="1">
      <alignment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right" vertical="top" shrinkToFit="1"/>
    </xf>
    <xf numFmtId="38" fontId="7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 shrinkToFit="1"/>
    </xf>
    <xf numFmtId="38" fontId="11" fillId="0" borderId="0" xfId="1" applyFont="1" applyFill="1" applyBorder="1" applyAlignment="1" applyProtection="1">
      <alignment vertical="center"/>
    </xf>
    <xf numFmtId="0" fontId="14" fillId="0" borderId="0" xfId="0" applyFont="1" applyAlignment="1"/>
    <xf numFmtId="0" fontId="16" fillId="0" borderId="0" xfId="0" applyFont="1" applyAlignment="1"/>
    <xf numFmtId="38" fontId="12" fillId="0" borderId="0" xfId="1" applyFont="1" applyFill="1" applyBorder="1" applyProtection="1">
      <alignment vertical="center"/>
    </xf>
    <xf numFmtId="0" fontId="14" fillId="0" borderId="3" xfId="0" applyFont="1" applyBorder="1" applyAlignme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wrapText="1"/>
    </xf>
    <xf numFmtId="38" fontId="12" fillId="0" borderId="0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>
      <alignment horizontal="right" vertical="center"/>
    </xf>
    <xf numFmtId="38" fontId="14" fillId="0" borderId="5" xfId="1" applyFont="1" applyFill="1" applyBorder="1" applyAlignment="1">
      <alignment vertical="center"/>
    </xf>
    <xf numFmtId="38" fontId="14" fillId="0" borderId="7" xfId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vertical="center"/>
    </xf>
    <xf numFmtId="38" fontId="12" fillId="2" borderId="9" xfId="1" applyFont="1" applyFill="1" applyBorder="1" applyAlignment="1" applyProtection="1">
      <alignment horizontal="center" vertical="center" wrapText="1"/>
    </xf>
    <xf numFmtId="38" fontId="12" fillId="2" borderId="10" xfId="1" applyFont="1" applyFill="1" applyBorder="1" applyAlignment="1" applyProtection="1">
      <alignment horizontal="center" vertical="center" wrapText="1"/>
    </xf>
    <xf numFmtId="38" fontId="12" fillId="2" borderId="11" xfId="1" applyFont="1" applyFill="1" applyBorder="1" applyAlignment="1" applyProtection="1">
      <alignment horizontal="center" vertical="center" wrapText="1"/>
    </xf>
    <xf numFmtId="38" fontId="12" fillId="2" borderId="12" xfId="1" applyFont="1" applyFill="1" applyBorder="1" applyAlignment="1" applyProtection="1">
      <alignment horizontal="center" vertical="center"/>
    </xf>
    <xf numFmtId="176" fontId="12" fillId="3" borderId="2" xfId="1" applyNumberFormat="1" applyFont="1" applyFill="1" applyBorder="1" applyAlignment="1" applyProtection="1">
      <alignment vertical="center"/>
      <protection locked="0"/>
    </xf>
    <xf numFmtId="177" fontId="12" fillId="3" borderId="2" xfId="1" applyNumberFormat="1" applyFont="1" applyFill="1" applyBorder="1" applyProtection="1">
      <alignment vertical="center"/>
      <protection locked="0"/>
    </xf>
    <xf numFmtId="177" fontId="12" fillId="3" borderId="13" xfId="1" applyNumberFormat="1" applyFont="1" applyFill="1" applyBorder="1" applyAlignment="1" applyProtection="1">
      <alignment horizontal="center" vertical="center"/>
      <protection locked="0"/>
    </xf>
    <xf numFmtId="38" fontId="12" fillId="2" borderId="14" xfId="1" applyFont="1" applyFill="1" applyBorder="1" applyAlignment="1" applyProtection="1">
      <alignment horizontal="center" vertical="center"/>
    </xf>
    <xf numFmtId="176" fontId="12" fillId="3" borderId="15" xfId="1" applyNumberFormat="1" applyFont="1" applyFill="1" applyBorder="1" applyAlignment="1" applyProtection="1">
      <alignment vertical="center"/>
      <protection locked="0"/>
    </xf>
    <xf numFmtId="177" fontId="12" fillId="3" borderId="16" xfId="1" applyNumberFormat="1" applyFont="1" applyFill="1" applyBorder="1" applyAlignment="1" applyProtection="1">
      <alignment horizontal="center" vertical="center"/>
      <protection locked="0"/>
    </xf>
    <xf numFmtId="38" fontId="12" fillId="2" borderId="17" xfId="1" applyFont="1" applyFill="1" applyBorder="1" applyAlignment="1" applyProtection="1">
      <alignment horizontal="center" vertical="center"/>
    </xf>
    <xf numFmtId="176" fontId="12" fillId="3" borderId="18" xfId="1" applyNumberFormat="1" applyFont="1" applyFill="1" applyBorder="1" applyAlignment="1" applyProtection="1">
      <alignment vertical="center"/>
      <protection locked="0"/>
    </xf>
    <xf numFmtId="177" fontId="12" fillId="3" borderId="19" xfId="1" applyNumberFormat="1" applyFont="1" applyFill="1" applyBorder="1" applyProtection="1">
      <alignment vertical="center"/>
      <protection locked="0"/>
    </xf>
    <xf numFmtId="177" fontId="12" fillId="3" borderId="20" xfId="1" applyNumberFormat="1" applyFont="1" applyFill="1" applyBorder="1" applyAlignment="1" applyProtection="1">
      <alignment horizontal="center" vertical="center"/>
      <protection locked="0"/>
    </xf>
    <xf numFmtId="38" fontId="22" fillId="0" borderId="0" xfId="1" applyFont="1" applyFill="1" applyBorder="1" applyProtection="1">
      <alignment vertical="center"/>
    </xf>
    <xf numFmtId="38" fontId="23" fillId="0" borderId="0" xfId="1" applyFont="1" applyFill="1" applyBorder="1" applyProtection="1">
      <alignment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178" fontId="24" fillId="6" borderId="21" xfId="1" applyNumberFormat="1" applyFont="1" applyFill="1" applyBorder="1" applyAlignment="1" applyProtection="1">
      <alignment horizontal="right" vertical="center"/>
    </xf>
    <xf numFmtId="179" fontId="24" fillId="6" borderId="22" xfId="1" applyNumberFormat="1" applyFont="1" applyFill="1" applyBorder="1" applyAlignment="1" applyProtection="1">
      <alignment horizontal="left" vertical="center"/>
    </xf>
    <xf numFmtId="38" fontId="14" fillId="0" borderId="0" xfId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/>
    <xf numFmtId="38" fontId="12" fillId="0" borderId="0" xfId="1" applyFont="1" applyFill="1" applyBorder="1" applyAlignment="1" applyProtection="1">
      <alignment horizontal="center" vertical="center" shrinkToFit="1"/>
    </xf>
    <xf numFmtId="181" fontId="12" fillId="0" borderId="0" xfId="1" applyNumberFormat="1" applyFont="1" applyFill="1" applyBorder="1" applyProtection="1">
      <alignment vertical="center"/>
    </xf>
    <xf numFmtId="38" fontId="25" fillId="7" borderId="25" xfId="1" applyFont="1" applyFill="1" applyBorder="1" applyAlignment="1" applyProtection="1">
      <alignment horizontal="center" vertical="center"/>
    </xf>
    <xf numFmtId="181" fontId="26" fillId="7" borderId="26" xfId="1" applyNumberFormat="1" applyFont="1" applyFill="1" applyBorder="1" applyProtection="1">
      <alignment vertical="center"/>
    </xf>
    <xf numFmtId="182" fontId="12" fillId="6" borderId="28" xfId="1" applyNumberFormat="1" applyFont="1" applyFill="1" applyBorder="1" applyProtection="1">
      <alignment vertical="center"/>
    </xf>
    <xf numFmtId="182" fontId="12" fillId="6" borderId="30" xfId="1" applyNumberFormat="1" applyFont="1" applyFill="1" applyBorder="1" applyProtection="1">
      <alignment vertical="center"/>
    </xf>
    <xf numFmtId="182" fontId="12" fillId="6" borderId="32" xfId="1" applyNumberFormat="1" applyFont="1" applyFill="1" applyBorder="1" applyProtection="1">
      <alignment vertical="center"/>
    </xf>
    <xf numFmtId="38" fontId="12" fillId="8" borderId="33" xfId="1" applyFont="1" applyFill="1" applyBorder="1" applyAlignment="1" applyProtection="1">
      <alignment horizontal="center" vertical="center" shrinkToFit="1"/>
    </xf>
    <xf numFmtId="183" fontId="12" fillId="9" borderId="34" xfId="1" applyNumberFormat="1" applyFont="1" applyFill="1" applyBorder="1" applyProtection="1">
      <alignment vertical="center"/>
    </xf>
    <xf numFmtId="38" fontId="12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horizontal="left" vertical="center" shrinkToFit="1"/>
    </xf>
    <xf numFmtId="38" fontId="6" fillId="0" borderId="0" xfId="1" applyFont="1" applyFill="1" applyBorder="1" applyAlignment="1" applyProtection="1">
      <alignment horizontal="right" vertical="center" shrinkToFit="1"/>
    </xf>
    <xf numFmtId="38" fontId="12" fillId="0" borderId="0" xfId="1" applyFont="1" applyFill="1" applyBorder="1" applyProtection="1">
      <alignment vertical="center"/>
      <protection hidden="1"/>
    </xf>
    <xf numFmtId="38" fontId="12" fillId="0" borderId="0" xfId="1" applyFont="1" applyFill="1" applyBorder="1" applyAlignment="1" applyProtection="1">
      <alignment horizontal="center" vertical="center" shrinkToFit="1"/>
      <protection hidden="1"/>
    </xf>
    <xf numFmtId="181" fontId="12" fillId="0" borderId="0" xfId="1" applyNumberFormat="1" applyFont="1" applyFill="1" applyBorder="1" applyProtection="1">
      <alignment vertical="center"/>
      <protection hidden="1"/>
    </xf>
    <xf numFmtId="38" fontId="6" fillId="0" borderId="0" xfId="1" applyFont="1" applyFill="1" applyBorder="1" applyAlignment="1" applyProtection="1">
      <alignment vertical="center" shrinkToFit="1"/>
      <protection hidden="1"/>
    </xf>
    <xf numFmtId="38" fontId="6" fillId="4" borderId="0" xfId="1" applyFont="1" applyFill="1" applyBorder="1" applyAlignment="1" applyProtection="1">
      <alignment vertical="center" shrinkToFit="1"/>
      <protection hidden="1"/>
    </xf>
    <xf numFmtId="38" fontId="12" fillId="0" borderId="0" xfId="1" applyFont="1" applyFill="1" applyBorder="1" applyAlignment="1" applyProtection="1">
      <alignment horizontal="center" vertical="center"/>
      <protection hidden="1"/>
    </xf>
    <xf numFmtId="38" fontId="6" fillId="11" borderId="15" xfId="1" applyFont="1" applyFill="1" applyBorder="1" applyAlignment="1" applyProtection="1">
      <alignment vertical="center" shrinkToFit="1"/>
      <protection hidden="1"/>
    </xf>
    <xf numFmtId="38" fontId="6" fillId="2" borderId="15" xfId="1" applyFont="1" applyFill="1" applyBorder="1" applyAlignment="1" applyProtection="1">
      <alignment vertical="center" shrinkToFit="1"/>
      <protection hidden="1"/>
    </xf>
    <xf numFmtId="38" fontId="6" fillId="12" borderId="15" xfId="1" applyFont="1" applyFill="1" applyBorder="1" applyAlignment="1" applyProtection="1">
      <alignment vertical="center" shrinkToFit="1"/>
      <protection hidden="1"/>
    </xf>
    <xf numFmtId="38" fontId="27" fillId="13" borderId="15" xfId="1" applyFont="1" applyFill="1" applyBorder="1" applyAlignment="1" applyProtection="1">
      <alignment vertical="center" shrinkToFit="1"/>
      <protection hidden="1"/>
    </xf>
    <xf numFmtId="38" fontId="6" fillId="14" borderId="15" xfId="1" applyFont="1" applyFill="1" applyBorder="1" applyAlignment="1" applyProtection="1">
      <alignment vertical="center" shrinkToFit="1"/>
      <protection hidden="1"/>
    </xf>
    <xf numFmtId="38" fontId="6" fillId="15" borderId="15" xfId="1" applyFont="1" applyFill="1" applyBorder="1" applyAlignment="1" applyProtection="1">
      <alignment vertical="center" shrinkToFit="1"/>
      <protection hidden="1"/>
    </xf>
    <xf numFmtId="38" fontId="6" fillId="15" borderId="15" xfId="1" applyFont="1" applyFill="1" applyBorder="1" applyAlignment="1" applyProtection="1">
      <alignment horizontal="center" vertical="center" shrinkToFit="1"/>
      <protection hidden="1"/>
    </xf>
    <xf numFmtId="38" fontId="6" fillId="3" borderId="15" xfId="1" applyFont="1" applyFill="1" applyBorder="1" applyAlignment="1" applyProtection="1">
      <alignment vertical="center" shrinkToFit="1"/>
      <protection hidden="1"/>
    </xf>
    <xf numFmtId="38" fontId="6" fillId="16" borderId="15" xfId="1" applyFont="1" applyFill="1" applyBorder="1" applyAlignment="1" applyProtection="1">
      <alignment vertical="center" shrinkToFit="1"/>
      <protection hidden="1"/>
    </xf>
    <xf numFmtId="38" fontId="6" fillId="17" borderId="15" xfId="1" applyFont="1" applyFill="1" applyBorder="1" applyAlignment="1" applyProtection="1">
      <alignment vertical="center" shrinkToFit="1"/>
      <protection hidden="1"/>
    </xf>
    <xf numFmtId="40" fontId="6" fillId="18" borderId="15" xfId="1" applyNumberFormat="1" applyFont="1" applyFill="1" applyBorder="1" applyAlignment="1" applyProtection="1">
      <alignment vertical="center" shrinkToFit="1"/>
      <protection hidden="1"/>
    </xf>
    <xf numFmtId="38" fontId="6" fillId="18" borderId="15" xfId="1" applyFont="1" applyFill="1" applyBorder="1" applyAlignment="1" applyProtection="1">
      <alignment vertical="center" shrinkToFit="1"/>
      <protection hidden="1"/>
    </xf>
    <xf numFmtId="185" fontId="6" fillId="18" borderId="15" xfId="1" applyNumberFormat="1" applyFont="1" applyFill="1" applyBorder="1" applyAlignment="1" applyProtection="1">
      <alignment vertical="center" shrinkToFit="1"/>
      <protection hidden="1"/>
    </xf>
    <xf numFmtId="40" fontId="6" fillId="18" borderId="35" xfId="1" applyNumberFormat="1" applyFont="1" applyFill="1" applyBorder="1" applyAlignment="1" applyProtection="1">
      <alignment vertical="center" shrinkToFit="1"/>
      <protection hidden="1"/>
    </xf>
    <xf numFmtId="38" fontId="6" fillId="18" borderId="35" xfId="1" applyFont="1" applyFill="1" applyBorder="1" applyAlignment="1" applyProtection="1">
      <alignment vertical="center" shrinkToFit="1"/>
      <protection hidden="1"/>
    </xf>
    <xf numFmtId="38" fontId="6" fillId="0" borderId="36" xfId="1" applyFont="1" applyFill="1" applyBorder="1" applyAlignment="1" applyProtection="1">
      <alignment vertical="center" shrinkToFit="1"/>
      <protection hidden="1"/>
    </xf>
    <xf numFmtId="38" fontId="6" fillId="13" borderId="37" xfId="1" applyFont="1" applyFill="1" applyBorder="1" applyAlignment="1" applyProtection="1">
      <alignment horizontal="center" vertical="center" shrinkToFit="1"/>
      <protection hidden="1"/>
    </xf>
    <xf numFmtId="38" fontId="6" fillId="13" borderId="1" xfId="1" applyFont="1" applyFill="1" applyBorder="1" applyAlignment="1" applyProtection="1">
      <alignment vertical="center" shrinkToFit="1"/>
      <protection hidden="1"/>
    </xf>
    <xf numFmtId="38" fontId="28" fillId="19" borderId="0" xfId="1" applyFont="1" applyFill="1" applyBorder="1" applyAlignment="1" applyProtection="1">
      <alignment horizontal="center" vertical="center" shrinkToFit="1"/>
      <protection hidden="1"/>
    </xf>
    <xf numFmtId="38" fontId="6" fillId="20" borderId="15" xfId="1" applyFont="1" applyFill="1" applyBorder="1" applyAlignment="1" applyProtection="1">
      <alignment horizontal="center" vertical="center" shrinkToFit="1"/>
      <protection hidden="1"/>
    </xf>
    <xf numFmtId="38" fontId="6" fillId="20" borderId="15" xfId="1" applyFont="1" applyFill="1" applyBorder="1" applyAlignment="1" applyProtection="1">
      <alignment vertical="center" shrinkToFit="1"/>
      <protection hidden="1"/>
    </xf>
    <xf numFmtId="38" fontId="6" fillId="21" borderId="0" xfId="1" applyFont="1" applyFill="1" applyBorder="1" applyAlignment="1" applyProtection="1">
      <alignment vertical="center" shrinkToFit="1"/>
      <protection hidden="1"/>
    </xf>
    <xf numFmtId="38" fontId="6" fillId="20" borderId="0" xfId="1" applyFont="1" applyFill="1" applyBorder="1" applyAlignment="1" applyProtection="1">
      <alignment vertical="center" shrinkToFit="1"/>
      <protection hidden="1"/>
    </xf>
    <xf numFmtId="38" fontId="6" fillId="13" borderId="38" xfId="1" applyFont="1" applyFill="1" applyBorder="1" applyAlignment="1" applyProtection="1">
      <alignment horizontal="center" vertical="top" shrinkToFit="1"/>
      <protection hidden="1"/>
    </xf>
    <xf numFmtId="38" fontId="6" fillId="13" borderId="38" xfId="1" applyFont="1" applyFill="1" applyBorder="1" applyAlignment="1" applyProtection="1">
      <alignment vertical="center" shrinkToFit="1"/>
      <protection hidden="1"/>
    </xf>
    <xf numFmtId="38" fontId="6" fillId="13" borderId="15" xfId="1" applyFont="1" applyFill="1" applyBorder="1" applyAlignment="1" applyProtection="1">
      <alignment vertical="center" shrinkToFit="1"/>
      <protection hidden="1"/>
    </xf>
    <xf numFmtId="38" fontId="28" fillId="19" borderId="0" xfId="1" applyFont="1" applyFill="1" applyBorder="1" applyAlignment="1" applyProtection="1">
      <alignment vertical="center" shrinkToFit="1"/>
      <protection hidden="1"/>
    </xf>
    <xf numFmtId="38" fontId="6" fillId="17" borderId="38" xfId="1" applyFont="1" applyFill="1" applyBorder="1" applyAlignment="1" applyProtection="1">
      <alignment horizontal="justify" vertical="center" shrinkToFit="1"/>
      <protection hidden="1"/>
    </xf>
    <xf numFmtId="10" fontId="6" fillId="17" borderId="38" xfId="1" applyNumberFormat="1" applyFont="1" applyFill="1" applyBorder="1" applyAlignment="1" applyProtection="1">
      <alignment horizontal="right" vertical="top" shrinkToFit="1"/>
      <protection hidden="1"/>
    </xf>
    <xf numFmtId="185" fontId="6" fillId="0" borderId="0" xfId="1" applyNumberFormat="1" applyFont="1" applyFill="1" applyBorder="1" applyAlignment="1" applyProtection="1">
      <alignment vertical="center" shrinkToFit="1"/>
      <protection hidden="1"/>
    </xf>
    <xf numFmtId="38" fontId="6" fillId="17" borderId="38" xfId="1" applyFont="1" applyFill="1" applyBorder="1" applyAlignment="1" applyProtection="1">
      <alignment vertical="center" shrinkToFit="1"/>
      <protection hidden="1"/>
    </xf>
    <xf numFmtId="38" fontId="6" fillId="17" borderId="38" xfId="1" applyFont="1" applyFill="1" applyBorder="1" applyAlignment="1" applyProtection="1">
      <alignment horizontal="right" vertical="top" shrinkToFit="1"/>
      <protection hidden="1"/>
    </xf>
    <xf numFmtId="38" fontId="29" fillId="17" borderId="38" xfId="1" applyFont="1" applyFill="1" applyBorder="1" applyAlignment="1" applyProtection="1">
      <alignment vertical="center" shrinkToFit="1"/>
      <protection hidden="1"/>
    </xf>
    <xf numFmtId="38" fontId="6" fillId="17" borderId="39" xfId="1" applyFont="1" applyFill="1" applyBorder="1" applyAlignment="1" applyProtection="1">
      <alignment horizontal="right" vertical="top" shrinkToFit="1"/>
      <protection hidden="1"/>
    </xf>
    <xf numFmtId="38" fontId="6" fillId="22" borderId="0" xfId="1" applyFont="1" applyFill="1" applyBorder="1" applyAlignment="1" applyProtection="1">
      <alignment vertical="center" shrinkToFit="1"/>
      <protection hidden="1"/>
    </xf>
    <xf numFmtId="38" fontId="6" fillId="22" borderId="0" xfId="1" applyFont="1" applyFill="1" applyBorder="1" applyAlignment="1" applyProtection="1">
      <alignment vertical="center"/>
      <protection hidden="1"/>
    </xf>
    <xf numFmtId="38" fontId="6" fillId="24" borderId="15" xfId="1" applyFont="1" applyFill="1" applyBorder="1" applyAlignment="1" applyProtection="1">
      <alignment vertical="center" shrinkToFit="1"/>
      <protection hidden="1"/>
    </xf>
    <xf numFmtId="186" fontId="6" fillId="24" borderId="15" xfId="1" applyNumberFormat="1" applyFont="1" applyFill="1" applyBorder="1" applyAlignment="1" applyProtection="1">
      <alignment vertical="center" shrinkToFit="1"/>
      <protection hidden="1"/>
    </xf>
    <xf numFmtId="185" fontId="6" fillId="24" borderId="15" xfId="1" applyNumberFormat="1" applyFont="1" applyFill="1" applyBorder="1" applyAlignment="1" applyProtection="1">
      <alignment vertical="center" shrinkToFit="1"/>
      <protection hidden="1"/>
    </xf>
    <xf numFmtId="40" fontId="6" fillId="24" borderId="15" xfId="1" applyNumberFormat="1" applyFont="1" applyFill="1" applyBorder="1" applyAlignment="1" applyProtection="1">
      <alignment vertical="center" shrinkToFit="1"/>
      <protection hidden="1"/>
    </xf>
    <xf numFmtId="38" fontId="6" fillId="25" borderId="15" xfId="1" applyFont="1" applyFill="1" applyBorder="1" applyAlignment="1" applyProtection="1">
      <alignment vertical="center" shrinkToFit="1"/>
      <protection hidden="1"/>
    </xf>
    <xf numFmtId="186" fontId="6" fillId="12" borderId="15" xfId="1" applyNumberFormat="1" applyFont="1" applyFill="1" applyBorder="1" applyAlignment="1" applyProtection="1">
      <alignment vertical="center" shrinkToFit="1"/>
      <protection hidden="1"/>
    </xf>
    <xf numFmtId="185" fontId="6" fillId="12" borderId="15" xfId="1" applyNumberFormat="1" applyFont="1" applyFill="1" applyBorder="1" applyAlignment="1" applyProtection="1">
      <alignment vertical="center" shrinkToFit="1"/>
      <protection hidden="1"/>
    </xf>
    <xf numFmtId="38" fontId="6" fillId="12" borderId="35" xfId="1" applyFont="1" applyFill="1" applyBorder="1" applyAlignment="1" applyProtection="1">
      <alignment vertical="center" shrinkToFit="1"/>
      <protection hidden="1"/>
    </xf>
    <xf numFmtId="186" fontId="6" fillId="12" borderId="35" xfId="1" applyNumberFormat="1" applyFont="1" applyFill="1" applyBorder="1" applyAlignment="1" applyProtection="1">
      <alignment vertical="center" shrinkToFit="1"/>
      <protection hidden="1"/>
    </xf>
    <xf numFmtId="38" fontId="6" fillId="26" borderId="15" xfId="1" applyFont="1" applyFill="1" applyBorder="1" applyAlignment="1" applyProtection="1">
      <alignment vertical="center" shrinkToFit="1"/>
      <protection hidden="1"/>
    </xf>
    <xf numFmtId="186" fontId="6" fillId="0" borderId="0" xfId="1" applyNumberFormat="1" applyFont="1" applyFill="1" applyBorder="1" applyAlignment="1" applyProtection="1">
      <alignment vertical="center" shrinkToFit="1"/>
      <protection hidden="1"/>
    </xf>
    <xf numFmtId="9" fontId="6" fillId="24" borderId="15" xfId="1" applyNumberFormat="1" applyFont="1" applyFill="1" applyBorder="1" applyAlignment="1" applyProtection="1">
      <alignment vertical="center" shrinkToFit="1"/>
      <protection hidden="1"/>
    </xf>
    <xf numFmtId="187" fontId="6" fillId="26" borderId="15" xfId="1" applyNumberFormat="1" applyFont="1" applyFill="1" applyBorder="1" applyAlignment="1" applyProtection="1">
      <alignment vertical="center" shrinkToFit="1"/>
      <protection hidden="1"/>
    </xf>
    <xf numFmtId="38" fontId="30" fillId="4" borderId="0" xfId="1" applyFont="1" applyFill="1" applyBorder="1" applyAlignment="1" applyProtection="1">
      <alignment vertical="center" shrinkToFit="1"/>
      <protection hidden="1"/>
    </xf>
    <xf numFmtId="38" fontId="30" fillId="23" borderId="0" xfId="1" applyFont="1" applyFill="1" applyBorder="1" applyAlignment="1" applyProtection="1">
      <alignment vertical="center" shrinkToFit="1"/>
      <protection hidden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7" fontId="12" fillId="3" borderId="18" xfId="1" applyNumberFormat="1" applyFont="1" applyFill="1" applyBorder="1" applyProtection="1">
      <alignment vertical="center"/>
      <protection locked="0"/>
    </xf>
    <xf numFmtId="182" fontId="12" fillId="6" borderId="40" xfId="1" applyNumberFormat="1" applyFont="1" applyFill="1" applyBorder="1" applyProtection="1">
      <alignment vertical="center"/>
    </xf>
    <xf numFmtId="38" fontId="12" fillId="6" borderId="27" xfId="1" applyFont="1" applyFill="1" applyBorder="1" applyAlignment="1" applyProtection="1">
      <alignment horizontal="left" vertical="center"/>
    </xf>
    <xf numFmtId="38" fontId="12" fillId="6" borderId="29" xfId="1" applyFont="1" applyFill="1" applyBorder="1" applyAlignment="1" applyProtection="1">
      <alignment horizontal="left" vertical="center"/>
    </xf>
    <xf numFmtId="38" fontId="12" fillId="6" borderId="31" xfId="1" applyFont="1" applyFill="1" applyBorder="1" applyAlignment="1" applyProtection="1">
      <alignment horizontal="left" vertical="center"/>
    </xf>
    <xf numFmtId="180" fontId="13" fillId="6" borderId="23" xfId="1" applyNumberFormat="1" applyFont="1" applyFill="1" applyBorder="1" applyAlignment="1" applyProtection="1">
      <alignment horizontal="center" vertical="center"/>
    </xf>
    <xf numFmtId="180" fontId="13" fillId="6" borderId="24" xfId="1" applyNumberFormat="1" applyFont="1" applyFill="1" applyBorder="1" applyAlignment="1" applyProtection="1">
      <alignment horizontal="center" vertical="center"/>
    </xf>
    <xf numFmtId="184" fontId="6" fillId="10" borderId="33" xfId="1" applyNumberFormat="1" applyFont="1" applyFill="1" applyBorder="1" applyAlignment="1" applyProtection="1">
      <alignment horizontal="left" vertical="center"/>
      <protection hidden="1"/>
    </xf>
    <xf numFmtId="184" fontId="6" fillId="10" borderId="34" xfId="1" applyNumberFormat="1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right" vertical="center"/>
    </xf>
    <xf numFmtId="38" fontId="14" fillId="0" borderId="3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4" fillId="0" borderId="5" xfId="1" applyFont="1" applyFill="1" applyBorder="1" applyAlignment="1">
      <alignment vertical="center"/>
    </xf>
    <xf numFmtId="38" fontId="14" fillId="0" borderId="7" xfId="1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38" fontId="14" fillId="0" borderId="3" xfId="1" applyFont="1" applyFill="1" applyBorder="1" applyAlignment="1">
      <alignment horizontal="right" vertical="center"/>
    </xf>
    <xf numFmtId="3" fontId="19" fillId="0" borderId="5" xfId="1" applyNumberFormat="1" applyFont="1" applyFill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38" fontId="14" fillId="0" borderId="5" xfId="1" applyFont="1" applyFill="1" applyBorder="1" applyAlignment="1">
      <alignment horizontal="right" vertical="center"/>
    </xf>
    <xf numFmtId="38" fontId="14" fillId="0" borderId="7" xfId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12" fillId="2" borderId="1" xfId="1" applyFont="1" applyFill="1" applyBorder="1" applyAlignment="1" applyProtection="1">
      <alignment horizontal="center" vertical="center"/>
    </xf>
    <xf numFmtId="38" fontId="12" fillId="2" borderId="2" xfId="1" applyFont="1" applyFill="1" applyBorder="1" applyAlignment="1" applyProtection="1">
      <alignment horizontal="center" vertical="center"/>
    </xf>
    <xf numFmtId="187" fontId="13" fillId="3" borderId="1" xfId="1" applyNumberFormat="1" applyFont="1" applyFill="1" applyBorder="1" applyAlignment="1" applyProtection="1">
      <alignment horizontal="center" vertical="center"/>
      <protection locked="0"/>
    </xf>
    <xf numFmtId="187" fontId="13" fillId="3" borderId="2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9790</xdr:colOff>
      <xdr:row>4</xdr:row>
      <xdr:rowOff>164761</xdr:rowOff>
    </xdr:from>
    <xdr:to>
      <xdr:col>3</xdr:col>
      <xdr:colOff>899949</xdr:colOff>
      <xdr:row>4</xdr:row>
      <xdr:rowOff>170389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9162A5-3D90-4DCD-BB3C-D0BB76C04ABA}"/>
            </a:ext>
          </a:extLst>
        </xdr:cNvPr>
        <xdr:cNvCxnSpPr>
          <a:endCxn id="9" idx="3"/>
        </xdr:cNvCxnSpPr>
      </xdr:nvCxnSpPr>
      <xdr:spPr>
        <a:xfrm rot="10800000" flipV="1">
          <a:off x="2807759" y="974386"/>
          <a:ext cx="890159" cy="5628"/>
        </a:xfrm>
        <a:prstGeom prst="straightConnector1">
          <a:avLst/>
        </a:prstGeom>
        <a:noFill/>
        <a:ln w="25400" cap="flat" cmpd="sng" algn="ctr">
          <a:solidFill>
            <a:srgbClr val="4F81BD">
              <a:lumMod val="7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6</xdr:col>
      <xdr:colOff>1017445</xdr:colOff>
      <xdr:row>4</xdr:row>
      <xdr:rowOff>178594</xdr:rowOff>
    </xdr:from>
    <xdr:to>
      <xdr:col>7</xdr:col>
      <xdr:colOff>23812</xdr:colOff>
      <xdr:row>13</xdr:row>
      <xdr:rowOff>10824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175F1D0-48A0-4125-932A-8B23C5663C20}"/>
            </a:ext>
          </a:extLst>
        </xdr:cNvPr>
        <xdr:cNvCxnSpPr/>
      </xdr:nvCxnSpPr>
      <xdr:spPr>
        <a:xfrm flipH="1">
          <a:off x="7694470" y="988219"/>
          <a:ext cx="416067" cy="1765805"/>
        </a:xfrm>
        <a:prstGeom prst="straightConnector1">
          <a:avLst/>
        </a:prstGeom>
        <a:noFill/>
        <a:ln w="25400" cap="flat" cmpd="sng" algn="ctr">
          <a:solidFill>
            <a:srgbClr val="4F81BD">
              <a:lumMod val="75000"/>
            </a:srgbClr>
          </a:solidFill>
          <a:prstDash val="solid"/>
          <a:tailEnd type="arrow"/>
        </a:ln>
        <a:effectLst/>
      </xdr:spPr>
    </xdr:cxnSp>
    <xdr:clientData/>
  </xdr:twoCellAnchor>
  <xdr:twoCellAnchor>
    <xdr:from>
      <xdr:col>5</xdr:col>
      <xdr:colOff>335541</xdr:colOff>
      <xdr:row>10</xdr:row>
      <xdr:rowOff>75772</xdr:rowOff>
    </xdr:from>
    <xdr:to>
      <xdr:col>5</xdr:col>
      <xdr:colOff>573668</xdr:colOff>
      <xdr:row>12</xdr:row>
      <xdr:rowOff>129887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715712A-D2F7-494D-A89B-734DAC2C39F7}"/>
            </a:ext>
          </a:extLst>
        </xdr:cNvPr>
        <xdr:cNvCxnSpPr/>
      </xdr:nvCxnSpPr>
      <xdr:spPr>
        <a:xfrm rot="5400000">
          <a:off x="5580572" y="2269766"/>
          <a:ext cx="511315" cy="238127"/>
        </a:xfrm>
        <a:prstGeom prst="straightConnector1">
          <a:avLst/>
        </a:prstGeom>
        <a:noFill/>
        <a:ln w="25400" cap="flat" cmpd="sng" algn="ctr">
          <a:solidFill>
            <a:srgbClr val="4F81BD">
              <a:lumMod val="75000"/>
            </a:srgbClr>
          </a:solidFill>
          <a:prstDash val="solid"/>
          <a:tailEnd type="arrow"/>
        </a:ln>
        <a:effectLst/>
      </xdr:spPr>
    </xdr:cxnSp>
    <xdr:clientData/>
  </xdr:twoCellAnchor>
  <xdr:oneCellAnchor>
    <xdr:from>
      <xdr:col>3</xdr:col>
      <xdr:colOff>259767</xdr:colOff>
      <xdr:row>3</xdr:row>
      <xdr:rowOff>50655</xdr:rowOff>
    </xdr:from>
    <xdr:ext cx="4394487" cy="436935"/>
    <xdr:sp macro="" textlink="">
      <xdr:nvSpPr>
        <xdr:cNvPr id="5" name="角丸四角形 7">
          <a:extLst>
            <a:ext uri="{FF2B5EF4-FFF2-40B4-BE49-F238E27FC236}">
              <a16:creationId xmlns:a16="http://schemas.microsoft.com/office/drawing/2014/main" id="{A871D08A-BCBD-4C0B-B7D4-23F86CE6CF20}"/>
            </a:ext>
          </a:extLst>
        </xdr:cNvPr>
        <xdr:cNvSpPr/>
      </xdr:nvSpPr>
      <xdr:spPr>
        <a:xfrm>
          <a:off x="3050592" y="755505"/>
          <a:ext cx="4394487" cy="436935"/>
        </a:xfrm>
        <a:prstGeom prst="roundRect">
          <a:avLst>
            <a:gd name="adj" fmla="val 9074"/>
          </a:avLst>
        </a:prstGeom>
        <a:solidFill>
          <a:srgbClr val="9BBB59">
            <a:lumMod val="20000"/>
            <a:lumOff val="80000"/>
          </a:srgbClr>
        </a:solidFill>
        <a:ln w="25400" cap="flat" cmpd="sng" algn="ctr">
          <a:solidFill>
            <a:srgbClr val="4F81BD">
              <a:lumMod val="75000"/>
            </a:srgbClr>
          </a:solidFill>
          <a:prstDash val="solid"/>
        </a:ln>
        <a:effectLst/>
      </xdr:spPr>
      <xdr:txBody>
        <a:bodyPr wrap="square" lIns="0" tIns="0" rIns="0" bIns="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赤枠の中をクリックし、国保に加入される月を　▼から選んでください。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加入される月から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令和９年３月末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までの国保税を試算します。</a:t>
          </a:r>
        </a:p>
      </xdr:txBody>
    </xdr:sp>
    <xdr:clientData/>
  </xdr:oneCellAnchor>
  <xdr:oneCellAnchor>
    <xdr:from>
      <xdr:col>6</xdr:col>
      <xdr:colOff>1189108</xdr:colOff>
      <xdr:row>0</xdr:row>
      <xdr:rowOff>173182</xdr:rowOff>
    </xdr:from>
    <xdr:ext cx="3862391" cy="813859"/>
    <xdr:sp macro="" textlink="">
      <xdr:nvSpPr>
        <xdr:cNvPr id="6" name="角丸四角形 8">
          <a:extLst>
            <a:ext uri="{FF2B5EF4-FFF2-40B4-BE49-F238E27FC236}">
              <a16:creationId xmlns:a16="http://schemas.microsoft.com/office/drawing/2014/main" id="{C0545835-F491-4D34-BE6B-F35D2EA17D20}"/>
            </a:ext>
          </a:extLst>
        </xdr:cNvPr>
        <xdr:cNvSpPr/>
      </xdr:nvSpPr>
      <xdr:spPr>
        <a:xfrm>
          <a:off x="7866133" y="173182"/>
          <a:ext cx="3862391" cy="813859"/>
        </a:xfrm>
        <a:prstGeom prst="roundRect">
          <a:avLst>
            <a:gd name="adj" fmla="val 6904"/>
          </a:avLst>
        </a:prstGeom>
        <a:solidFill>
          <a:srgbClr val="9BBB59">
            <a:lumMod val="20000"/>
            <a:lumOff val="80000"/>
          </a:srgbClr>
        </a:solidFill>
        <a:ln w="25400" cap="flat" cmpd="sng" algn="ctr">
          <a:solidFill>
            <a:srgbClr val="4F81BD">
              <a:lumMod val="75000"/>
            </a:srgbClr>
          </a:solidFill>
          <a:prstDash val="solid"/>
        </a:ln>
        <a:effectLst/>
      </xdr:spPr>
      <xdr:txBody>
        <a:bodyPr wrap="square" lIns="0" tIns="0" rIns="0" bIns="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④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非自発的失業者の軽減の対象となる人が申請された場合、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対象者の給与所得を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分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にして計算します。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下の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入力の注意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〉※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３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を読み、対象となる場合は、対象者の　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欄の赤枠の中をクリックし▼から「有」を選んでください。</a:t>
          </a:r>
        </a:p>
      </xdr:txBody>
    </xdr:sp>
    <xdr:clientData/>
  </xdr:oneCellAnchor>
  <xdr:oneCellAnchor>
    <xdr:from>
      <xdr:col>4</xdr:col>
      <xdr:colOff>468024</xdr:colOff>
      <xdr:row>22</xdr:row>
      <xdr:rowOff>173276</xdr:rowOff>
    </xdr:from>
    <xdr:ext cx="3400425" cy="2952890"/>
    <xdr:sp macro="" textlink="">
      <xdr:nvSpPr>
        <xdr:cNvPr id="7" name="角丸四角形 9">
          <a:extLst>
            <a:ext uri="{FF2B5EF4-FFF2-40B4-BE49-F238E27FC236}">
              <a16:creationId xmlns:a16="http://schemas.microsoft.com/office/drawing/2014/main" id="{F0E95083-46B9-4AE7-8C20-DD1A9487DE12}"/>
            </a:ext>
          </a:extLst>
        </xdr:cNvPr>
        <xdr:cNvSpPr/>
      </xdr:nvSpPr>
      <xdr:spPr>
        <a:xfrm>
          <a:off x="4554249" y="5316776"/>
          <a:ext cx="3400425" cy="2952890"/>
        </a:xfrm>
        <a:prstGeom prst="roundRect">
          <a:avLst>
            <a:gd name="adj" fmla="val 5108"/>
          </a:avLst>
        </a:prstGeom>
        <a:solidFill>
          <a:srgbClr val="9BBB59">
            <a:lumMod val="20000"/>
            <a:lumOff val="8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wrap="square" lIns="36000" tIns="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国保税の納税義務者について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国民健康保険税は、国保に加入している世帯ごとに計算し、世帯主が納税義務者になります。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世帯主本人が国保に加入していなくても、世帯内に国保加入者がいれば、納税義務者は世帯主になります。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国保の納付回数について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令和８年７月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まで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に国保加入の手続きをされている人で、普通徴収の場合、加入月から年度末までの国民健康保険税は、８回にわけて納付をお願いしています。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手続きされた日や徴収方法の違いにより、納付回数や納期限が変わります。</a:t>
          </a:r>
        </a:p>
      </xdr:txBody>
    </xdr:sp>
    <xdr:clientData/>
  </xdr:oneCellAnchor>
  <xdr:oneCellAnchor>
    <xdr:from>
      <xdr:col>1</xdr:col>
      <xdr:colOff>952499</xdr:colOff>
      <xdr:row>22</xdr:row>
      <xdr:rowOff>123825</xdr:rowOff>
    </xdr:from>
    <xdr:ext cx="3132667" cy="652225"/>
    <xdr:sp macro="" textlink="">
      <xdr:nvSpPr>
        <xdr:cNvPr id="8" name="角丸四角形 10">
          <a:extLst>
            <a:ext uri="{FF2B5EF4-FFF2-40B4-BE49-F238E27FC236}">
              <a16:creationId xmlns:a16="http://schemas.microsoft.com/office/drawing/2014/main" id="{929A619B-F0BB-4D8F-AFF5-5E6E030EF182}"/>
            </a:ext>
          </a:extLst>
        </xdr:cNvPr>
        <xdr:cNvSpPr/>
      </xdr:nvSpPr>
      <xdr:spPr>
        <a:xfrm>
          <a:off x="1154905" y="5231606"/>
          <a:ext cx="3132667" cy="652225"/>
        </a:xfrm>
        <a:prstGeom prst="roundRect">
          <a:avLst/>
        </a:prstGeom>
        <a:solidFill>
          <a:srgbClr val="C0504D">
            <a:lumMod val="60000"/>
            <a:lumOff val="40000"/>
          </a:srgbClr>
        </a:solidFill>
        <a:ln w="25400" cap="flat" cmpd="sng" algn="ctr">
          <a:solidFill>
            <a:srgbClr val="C0504D">
              <a:lumMod val="75000"/>
            </a:srgbClr>
          </a:solidFill>
          <a:prstDash val="solid"/>
        </a:ln>
        <a:effectLst/>
      </xdr:spPr>
      <xdr:txBody>
        <a:bodyPr wrap="square" lIns="36000" tIns="36000" rIns="36000" bIns="3600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国民健康保険税　試算結果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あなたの世帯の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令和８年度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の国保税</a:t>
          </a:r>
        </a:p>
      </xdr:txBody>
    </xdr:sp>
    <xdr:clientData/>
  </xdr:oneCellAnchor>
  <xdr:twoCellAnchor>
    <xdr:from>
      <xdr:col>1</xdr:col>
      <xdr:colOff>1257564</xdr:colOff>
      <xdr:row>3</xdr:row>
      <xdr:rowOff>89427</xdr:rowOff>
    </xdr:from>
    <xdr:to>
      <xdr:col>3</xdr:col>
      <xdr:colOff>9789</xdr:colOff>
      <xdr:row>6</xdr:row>
      <xdr:rowOff>24050</xdr:rowOff>
    </xdr:to>
    <xdr:sp macro="" textlink="">
      <xdr:nvSpPr>
        <xdr:cNvPr id="9" name="角丸四角形 11">
          <a:extLst>
            <a:ext uri="{FF2B5EF4-FFF2-40B4-BE49-F238E27FC236}">
              <a16:creationId xmlns:a16="http://schemas.microsoft.com/office/drawing/2014/main" id="{24F5A9C8-31E6-4FD3-A1A4-DB1DDD67516C}"/>
            </a:ext>
          </a:extLst>
        </xdr:cNvPr>
        <xdr:cNvSpPr/>
      </xdr:nvSpPr>
      <xdr:spPr>
        <a:xfrm>
          <a:off x="1459970" y="791896"/>
          <a:ext cx="1347788" cy="375154"/>
        </a:xfrm>
        <a:prstGeom prst="roundRect">
          <a:avLst/>
        </a:prstGeom>
        <a:noFill/>
        <a:ln w="50800" cap="flat" cmpd="sng" algn="ctr">
          <a:solidFill>
            <a:srgbClr val="FF0000"/>
          </a:solidFill>
          <a:prstDash val="sysDot"/>
        </a:ln>
        <a:effectLst/>
      </xdr:spPr>
      <xdr:txBody>
        <a:bodyPr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7</xdr:col>
      <xdr:colOff>205651</xdr:colOff>
      <xdr:row>6</xdr:row>
      <xdr:rowOff>78030</xdr:rowOff>
    </xdr:from>
    <xdr:ext cx="3444876" cy="6375158"/>
    <xdr:sp macro="" textlink="">
      <xdr:nvSpPr>
        <xdr:cNvPr id="10" name="角丸四角形 12">
          <a:extLst>
            <a:ext uri="{FF2B5EF4-FFF2-40B4-BE49-F238E27FC236}">
              <a16:creationId xmlns:a16="http://schemas.microsoft.com/office/drawing/2014/main" id="{31E3511E-D16B-4D82-9CE8-29756B2123D9}"/>
            </a:ext>
          </a:extLst>
        </xdr:cNvPr>
        <xdr:cNvSpPr/>
      </xdr:nvSpPr>
      <xdr:spPr>
        <a:xfrm>
          <a:off x="8301901" y="1221030"/>
          <a:ext cx="3444876" cy="6375158"/>
        </a:xfrm>
        <a:prstGeom prst="roundRect">
          <a:avLst>
            <a:gd name="adj" fmla="val 5519"/>
          </a:avLst>
        </a:prstGeom>
        <a:solidFill>
          <a:srgbClr val="8064A2">
            <a:lumMod val="20000"/>
            <a:lumOff val="80000"/>
          </a:srgbClr>
        </a:solidFill>
        <a:ln w="31750" cap="flat" cmpd="sng" algn="ctr">
          <a:solidFill>
            <a:srgbClr val="7030A0"/>
          </a:solidFill>
          <a:prstDash val="solid"/>
        </a:ln>
        <a:effectLst/>
      </xdr:spPr>
      <xdr:txBody>
        <a:bodyPr wrap="square" lIns="108000" tIns="0" rIns="108000" bIns="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＜入力の注意＞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１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「給与収入」、「公的年金等の収入」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令和７年１月から１２月まで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のそれぞれ源泉徴収票等の支払金額（２枚以上ある場合は、その合計額）をそれぞれの収入欄に入力してください。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２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「その他の所得」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令和７年１月から１２月まで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の給与と公的年金等を除く山林、営業、農業、不動産、利子、配当、雑（個人年金含む）、譲渡所得等の合計額を入力してください。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遺族年金、障害年金、失業手当などの非課税所得を除いた金額になります。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３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「非自発的失業者軽減の有無」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非自発的失業者に係る国保税の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令和８年度分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の軽減は、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令和７年３月３１日以降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に離職した６５歳未満の人で、雇用保険受給資格者証（オンラインによる失業認定者含む）の交付があり、離職理由が特定理由離職者か特定受給資格者の人が税務課、医療介護保険課（市役所内）及び上下支所で申請された場合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詳しくは、税務課　市民税係（電話４４－９１２６）にお尋ねください。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sz="5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世帯の所得が一定額以下の場合は、税額が軽減    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  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されるケースがありますが、この試算では対応して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   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おりません。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また、「年度途中で６５歳になる方がいる世帯」、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「給与収入金額が８５０万円を超える方がいる世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帯」及び「公的年金等に係る雑所得があり、かつ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公的年金等に係る雑所得以外の合計所得金額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が１千万円を超える方がいる世帯」は、この試算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には対応しておりません。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◎　試算の計算結果は、概算額です。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　おおよその目安としてください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。　　</a:t>
          </a:r>
        </a:p>
      </xdr:txBody>
    </xdr:sp>
    <xdr:clientData/>
  </xdr:oneCellAnchor>
  <xdr:oneCellAnchor>
    <xdr:from>
      <xdr:col>5</xdr:col>
      <xdr:colOff>462394</xdr:colOff>
      <xdr:row>7</xdr:row>
      <xdr:rowOff>1</xdr:rowOff>
    </xdr:from>
    <xdr:ext cx="1676401" cy="821437"/>
    <xdr:sp macro="" textlink="">
      <xdr:nvSpPr>
        <xdr:cNvPr id="11" name="角丸四角形 13">
          <a:extLst>
            <a:ext uri="{FF2B5EF4-FFF2-40B4-BE49-F238E27FC236}">
              <a16:creationId xmlns:a16="http://schemas.microsoft.com/office/drawing/2014/main" id="{EB2B1B05-8E51-4E6A-9081-8EBAB16119FA}"/>
            </a:ext>
          </a:extLst>
        </xdr:cNvPr>
        <xdr:cNvSpPr/>
      </xdr:nvSpPr>
      <xdr:spPr>
        <a:xfrm>
          <a:off x="5844019" y="1371601"/>
          <a:ext cx="1676401" cy="821437"/>
        </a:xfrm>
        <a:prstGeom prst="roundRect">
          <a:avLst>
            <a:gd name="adj" fmla="val 8635"/>
          </a:avLst>
        </a:prstGeom>
        <a:solidFill>
          <a:srgbClr val="9BBB59">
            <a:lumMod val="20000"/>
            <a:lumOff val="80000"/>
          </a:srgbClr>
        </a:solidFill>
        <a:ln w="25400" cap="flat" cmpd="sng" algn="ctr">
          <a:solidFill>
            <a:srgbClr val="4F81BD">
              <a:lumMod val="75000"/>
            </a:srgbClr>
          </a:solidFill>
          <a:prstDash val="solid"/>
        </a:ln>
        <a:effectLst/>
      </xdr:spPr>
      <xdr:txBody>
        <a:bodyPr wrap="square" lIns="0" tIns="0" rIns="0" bIns="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③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年齢欄に入力した人の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令和７年１月から１２月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まで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の収入や所得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を入力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してください。</a:t>
          </a:r>
        </a:p>
      </xdr:txBody>
    </xdr:sp>
    <xdr:clientData/>
  </xdr:oneCellAnchor>
  <xdr:twoCellAnchor>
    <xdr:from>
      <xdr:col>2</xdr:col>
      <xdr:colOff>1152525</xdr:colOff>
      <xdr:row>28</xdr:row>
      <xdr:rowOff>27276</xdr:rowOff>
    </xdr:from>
    <xdr:to>
      <xdr:col>3</xdr:col>
      <xdr:colOff>133350</xdr:colOff>
      <xdr:row>28</xdr:row>
      <xdr:rowOff>189201</xdr:rowOff>
    </xdr:to>
    <xdr:sp macro="" textlink="">
      <xdr:nvSpPr>
        <xdr:cNvPr id="12" name="下矢印 14">
          <a:extLst>
            <a:ext uri="{FF2B5EF4-FFF2-40B4-BE49-F238E27FC236}">
              <a16:creationId xmlns:a16="http://schemas.microsoft.com/office/drawing/2014/main" id="{9A66CE9C-CF5E-48E9-9DD6-343A1A9465CA}"/>
            </a:ext>
          </a:extLst>
        </xdr:cNvPr>
        <xdr:cNvSpPr/>
      </xdr:nvSpPr>
      <xdr:spPr>
        <a:xfrm>
          <a:off x="2647950" y="6656676"/>
          <a:ext cx="276225" cy="161925"/>
        </a:xfrm>
        <a:prstGeom prst="downArrow">
          <a:avLst/>
        </a:prstGeom>
        <a:solidFill>
          <a:srgbClr val="C0504D">
            <a:lumMod val="60000"/>
            <a:lumOff val="40000"/>
          </a:srgbClr>
        </a:solidFill>
        <a:ln w="25400" cap="flat" cmpd="sng" algn="ctr">
          <a:solidFill>
            <a:srgbClr val="C0504D">
              <a:lumMod val="75000"/>
            </a:srgbClr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173185</xdr:colOff>
      <xdr:row>11</xdr:row>
      <xdr:rowOff>10819</xdr:rowOff>
    </xdr:from>
    <xdr:to>
      <xdr:col>2</xdr:col>
      <xdr:colOff>205655</xdr:colOff>
      <xdr:row>13</xdr:row>
      <xdr:rowOff>10825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A87767F-25BE-487F-B227-3BBEDAEEEC1B}"/>
            </a:ext>
          </a:extLst>
        </xdr:cNvPr>
        <xdr:cNvCxnSpPr/>
      </xdr:nvCxnSpPr>
      <xdr:spPr>
        <a:xfrm rot="16200000" flipH="1">
          <a:off x="1456242" y="2509187"/>
          <a:ext cx="457206" cy="32470"/>
        </a:xfrm>
        <a:prstGeom prst="straightConnector1">
          <a:avLst/>
        </a:prstGeom>
        <a:noFill/>
        <a:ln w="25400" cap="flat" cmpd="sng" algn="ctr">
          <a:solidFill>
            <a:srgbClr val="4F81BD">
              <a:lumMod val="75000"/>
            </a:srgbClr>
          </a:solidFill>
          <a:prstDash val="solid"/>
          <a:tailEnd type="arrow"/>
        </a:ln>
        <a:effectLst/>
      </xdr:spPr>
    </xdr:cxnSp>
    <xdr:clientData/>
  </xdr:twoCellAnchor>
  <xdr:oneCellAnchor>
    <xdr:from>
      <xdr:col>0</xdr:col>
      <xdr:colOff>147637</xdr:colOff>
      <xdr:row>7</xdr:row>
      <xdr:rowOff>215</xdr:rowOff>
    </xdr:from>
    <xdr:ext cx="5134408" cy="1023040"/>
    <xdr:sp macro="" textlink="">
      <xdr:nvSpPr>
        <xdr:cNvPr id="14" name="角丸四角形 16">
          <a:extLst>
            <a:ext uri="{FF2B5EF4-FFF2-40B4-BE49-F238E27FC236}">
              <a16:creationId xmlns:a16="http://schemas.microsoft.com/office/drawing/2014/main" id="{21332FCE-9508-43B5-8066-D2F3AD3B4C38}"/>
            </a:ext>
          </a:extLst>
        </xdr:cNvPr>
        <xdr:cNvSpPr/>
      </xdr:nvSpPr>
      <xdr:spPr>
        <a:xfrm>
          <a:off x="147637" y="1369434"/>
          <a:ext cx="5134408" cy="1023040"/>
        </a:xfrm>
        <a:prstGeom prst="roundRect">
          <a:avLst>
            <a:gd name="adj" fmla="val 10709"/>
          </a:avLst>
        </a:prstGeom>
        <a:solidFill>
          <a:srgbClr val="9BBB59">
            <a:lumMod val="20000"/>
            <a:lumOff val="80000"/>
          </a:srgbClr>
        </a:solidFill>
        <a:ln w="25400" cap="flat" cmpd="sng" algn="ctr">
          <a:solidFill>
            <a:srgbClr val="4F81BD">
              <a:lumMod val="75000"/>
            </a:srgbClr>
          </a:solidFill>
          <a:prstDash val="solid"/>
        </a:ln>
        <a:effectLst/>
      </xdr:spPr>
      <xdr:txBody>
        <a:bodyPr wrap="square" lIns="0" tIns="0" rIns="0" bIns="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同じ世帯内で加入される人全員の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令和８年１月１日現在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の年齢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（０歳から７４歳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まで）を１人一行ずつ上から順に入力してください。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この画面で世帯８人まで入力で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きます。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ただし、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令和８年度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の途中で４０歳になる人は、「４０」を入力してください。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年齢入力がない場合は、収入や所得を入力しても加入者として税額計算されません。</a:t>
          </a: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8</xdr:col>
      <xdr:colOff>29731</xdr:colOff>
      <xdr:row>32</xdr:row>
      <xdr:rowOff>56572</xdr:rowOff>
    </xdr:from>
    <xdr:ext cx="2748394" cy="734050"/>
    <xdr:sp macro="" textlink="">
      <xdr:nvSpPr>
        <xdr:cNvPr id="15" name="角丸四角形 17">
          <a:extLst>
            <a:ext uri="{FF2B5EF4-FFF2-40B4-BE49-F238E27FC236}">
              <a16:creationId xmlns:a16="http://schemas.microsoft.com/office/drawing/2014/main" id="{0A69F84B-318F-4EC0-89BF-134B60275962}"/>
            </a:ext>
          </a:extLst>
        </xdr:cNvPr>
        <xdr:cNvSpPr/>
      </xdr:nvSpPr>
      <xdr:spPr>
        <a:xfrm>
          <a:off x="8443481" y="7845905"/>
          <a:ext cx="2748394" cy="734050"/>
        </a:xfrm>
        <a:prstGeom prst="roundRect">
          <a:avLst>
            <a:gd name="adj" fmla="val 8635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wrap="square" lIns="108000" tIns="0" rIns="108000" bIns="0" rtlCol="0" anchor="ctr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問い合わせ先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府中市総務部税務課市民税係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電話　０８４７－４４－９１２６</a:t>
          </a:r>
        </a:p>
      </xdr:txBody>
    </xdr:sp>
    <xdr:clientData/>
  </xdr:oneCellAnchor>
  <xdr:twoCellAnchor>
    <xdr:from>
      <xdr:col>1</xdr:col>
      <xdr:colOff>933450</xdr:colOff>
      <xdr:row>22</xdr:row>
      <xdr:rowOff>95248</xdr:rowOff>
    </xdr:from>
    <xdr:to>
      <xdr:col>4</xdr:col>
      <xdr:colOff>228600</xdr:colOff>
      <xdr:row>36</xdr:row>
      <xdr:rowOff>142874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99917CE4-C42E-4E8D-8094-36ED28468DCC}"/>
            </a:ext>
          </a:extLst>
        </xdr:cNvPr>
        <xdr:cNvSpPr/>
      </xdr:nvSpPr>
      <xdr:spPr>
        <a:xfrm>
          <a:off x="1133475" y="5238748"/>
          <a:ext cx="3181350" cy="3657601"/>
        </a:xfrm>
        <a:prstGeom prst="roundRect">
          <a:avLst>
            <a:gd name="adj" fmla="val 3007"/>
          </a:avLst>
        </a:prstGeom>
        <a:noFill/>
        <a:ln w="66675" cap="flat" cmpd="dbl" algn="ctr">
          <a:solidFill>
            <a:srgbClr val="C00000"/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21646</xdr:colOff>
      <xdr:row>12</xdr:row>
      <xdr:rowOff>124476</xdr:rowOff>
    </xdr:from>
    <xdr:to>
      <xdr:col>5</xdr:col>
      <xdr:colOff>1239332</xdr:colOff>
      <xdr:row>13</xdr:row>
      <xdr:rowOff>108241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774BF629-8CF0-43BA-A1C4-39BB87BAEB18}"/>
            </a:ext>
          </a:extLst>
        </xdr:cNvPr>
        <xdr:cNvSpPr/>
      </xdr:nvSpPr>
      <xdr:spPr>
        <a:xfrm rot="5400000">
          <a:off x="4610531" y="841016"/>
          <a:ext cx="212365" cy="3808486"/>
        </a:xfrm>
        <a:prstGeom prst="leftBracket">
          <a:avLst/>
        </a:prstGeom>
        <a:noFill/>
        <a:ln w="25400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142"/>
  <sheetViews>
    <sheetView showGridLines="0" tabSelected="1" view="pageBreakPreview" zoomScaleNormal="80" zoomScaleSheetLayoutView="100" workbookViewId="0">
      <selection activeCell="F19" sqref="F19"/>
    </sheetView>
  </sheetViews>
  <sheetFormatPr defaultRowHeight="18" customHeight="1" x14ac:dyDescent="0.4"/>
  <cols>
    <col min="1" max="1" width="2.625" style="1" customWidth="1"/>
    <col min="2" max="6" width="17" style="10" customWidth="1"/>
    <col min="7" max="7" width="18.5" style="10" customWidth="1"/>
    <col min="8" max="8" width="4.625" style="1" customWidth="1"/>
    <col min="9" max="9" width="9" style="1"/>
    <col min="10" max="10" width="17.5" style="1" bestFit="1" customWidth="1"/>
    <col min="11" max="12" width="11.625" style="1" customWidth="1"/>
    <col min="13" max="13" width="24" style="1" customWidth="1"/>
    <col min="14" max="29" width="15.875" style="1" hidden="1" customWidth="1"/>
    <col min="30" max="35" width="20.125" style="1" hidden="1" customWidth="1"/>
    <col min="36" max="37" width="20.125" style="1" customWidth="1"/>
    <col min="38" max="39" width="11.375" style="1" customWidth="1"/>
    <col min="40" max="16384" width="9" style="1"/>
  </cols>
  <sheetData>
    <row r="1" spans="2:29" ht="30" customHeight="1" x14ac:dyDescent="0.4">
      <c r="B1" s="146" t="s">
        <v>87</v>
      </c>
      <c r="C1" s="146"/>
      <c r="D1" s="146"/>
      <c r="E1" s="146"/>
      <c r="F1" s="146"/>
      <c r="G1" s="146"/>
    </row>
    <row r="2" spans="2:29" ht="7.5" customHeight="1" x14ac:dyDescent="0.4">
      <c r="B2" s="2"/>
      <c r="C2" s="2"/>
      <c r="D2" s="2"/>
      <c r="E2" s="2"/>
      <c r="F2" s="2"/>
      <c r="G2" s="3"/>
      <c r="H2" s="3"/>
    </row>
    <row r="3" spans="2:29" s="6" customFormat="1" ht="18" customHeight="1" x14ac:dyDescent="0.2">
      <c r="B3" s="4" t="s">
        <v>0</v>
      </c>
      <c r="C3" s="5"/>
      <c r="D3" s="5"/>
      <c r="E3" s="5"/>
      <c r="F3" s="5"/>
      <c r="G3" s="3"/>
      <c r="H3" s="3"/>
    </row>
    <row r="4" spans="2:29" s="6" customFormat="1" ht="8.25" customHeight="1" x14ac:dyDescent="0.4">
      <c r="B4" s="7"/>
      <c r="C4" s="5"/>
      <c r="D4" s="5"/>
      <c r="E4" s="5"/>
      <c r="F4" s="5"/>
      <c r="G4" s="5"/>
    </row>
    <row r="5" spans="2:29" s="6" customFormat="1" ht="18" customHeight="1" x14ac:dyDescent="0.4">
      <c r="B5" s="147" t="s">
        <v>1</v>
      </c>
      <c r="C5" s="149">
        <v>46113</v>
      </c>
      <c r="D5" s="5"/>
      <c r="E5" s="5"/>
      <c r="F5" s="5"/>
      <c r="G5" s="5"/>
    </row>
    <row r="6" spans="2:29" s="6" customFormat="1" ht="8.25" customHeight="1" x14ac:dyDescent="0.4">
      <c r="B6" s="148"/>
      <c r="C6" s="150"/>
      <c r="D6" s="5"/>
      <c r="E6" s="5"/>
      <c r="F6" s="5"/>
      <c r="G6" s="5"/>
    </row>
    <row r="7" spans="2:29" s="6" customFormat="1" ht="18" customHeight="1" thickBot="1" x14ac:dyDescent="0.2">
      <c r="D7" s="5"/>
      <c r="E7" s="5"/>
      <c r="F7" s="5"/>
      <c r="G7" s="5"/>
      <c r="N7" s="8" t="s">
        <v>2</v>
      </c>
      <c r="O7" s="9" t="s">
        <v>86</v>
      </c>
      <c r="P7" s="8"/>
      <c r="Q7" s="8"/>
      <c r="R7" s="8"/>
      <c r="S7" s="8"/>
      <c r="T7" s="8"/>
      <c r="U7" s="8"/>
      <c r="V7" s="8"/>
      <c r="W7" s="8"/>
      <c r="X7" s="8"/>
      <c r="Y7" s="8"/>
      <c r="Z7" s="8" t="s">
        <v>3</v>
      </c>
      <c r="AA7" s="8"/>
      <c r="AB7" s="8"/>
      <c r="AC7" s="8"/>
    </row>
    <row r="8" spans="2:29" ht="18" customHeight="1" thickBot="1" x14ac:dyDescent="0.2">
      <c r="N8" s="11"/>
      <c r="O8" s="12" t="s">
        <v>4</v>
      </c>
      <c r="P8" s="13" t="s">
        <v>5</v>
      </c>
      <c r="Q8" s="14" t="s">
        <v>6</v>
      </c>
      <c r="R8" s="12" t="s">
        <v>7</v>
      </c>
      <c r="S8" s="15" t="s">
        <v>8</v>
      </c>
      <c r="T8" s="16" t="s">
        <v>9</v>
      </c>
      <c r="U8" s="17" t="s">
        <v>10</v>
      </c>
      <c r="V8" s="18" t="s">
        <v>11</v>
      </c>
      <c r="W8" s="19" t="s">
        <v>12</v>
      </c>
      <c r="X8" s="19" t="s">
        <v>13</v>
      </c>
      <c r="Y8" s="8"/>
      <c r="Z8" s="11"/>
      <c r="AA8" s="11"/>
      <c r="AB8" s="19" t="s">
        <v>12</v>
      </c>
      <c r="AC8" s="20" t="s">
        <v>14</v>
      </c>
    </row>
    <row r="9" spans="2:29" ht="18" customHeight="1" thickBot="1" x14ac:dyDescent="0.2">
      <c r="B9" s="21"/>
      <c r="C9" s="22"/>
      <c r="N9" s="138" t="s">
        <v>15</v>
      </c>
      <c r="O9" s="23">
        <f>IF(D15&lt;=650999,0,IF(D15&lt;=1899999,D15-650000,(IF(D15&lt;=3599999,ROUNDDOWN(D15/4,-3)*4*0.7-80000,IF(D15&lt;=6599999,ROUNDDOWN(D15/4,-3)*4*0.8-440000,IF(D15&lt;=8499999,D15*0.9-1100000,D15-1950000))))))</f>
        <v>0</v>
      </c>
      <c r="P9" s="23">
        <f>IF(O9&lt;=0,0,IF(S9&lt;=0,0,(IF(O9&lt;=100000,O9,100000))))</f>
        <v>0</v>
      </c>
      <c r="Q9" s="136">
        <f>O9-O10</f>
        <v>0</v>
      </c>
      <c r="R9" s="23">
        <f>IF(E15&lt;=600000,0,IF(E15&lt;=1299999,E15-600000,IF(E15&lt;=4099999,E15*0.75-275000,IF(E15&lt;=7699999,E15*0.85-685000,IF(E15&lt;=9999999,E15*0.95-1455000, IF(E15&gt;=10000000,E15-1955000))))))</f>
        <v>0</v>
      </c>
      <c r="S9" s="24">
        <f>IF(C15&lt;=64,R9,R10)</f>
        <v>0</v>
      </c>
      <c r="T9" s="140">
        <f>F15</f>
        <v>0</v>
      </c>
      <c r="U9" s="24">
        <f>Q9+S9+T9</f>
        <v>0</v>
      </c>
      <c r="V9" s="141">
        <f>IF(U9&lt;=24000000, 430000, IF(U9&lt;=24500000, 290000, IF(U9&lt;=25000000, 150000, 0)))</f>
        <v>430000</v>
      </c>
      <c r="W9" s="143" t="str">
        <f>IF((U9-V9)&lt;0,"",(U9-V9))</f>
        <v/>
      </c>
      <c r="X9" s="140">
        <f>IF(Q9&gt;0, 1, IF(S10&gt;0, 1, 0))</f>
        <v>0</v>
      </c>
      <c r="Y9" s="8"/>
      <c r="Z9" s="138" t="s">
        <v>15</v>
      </c>
      <c r="AA9" s="119"/>
      <c r="AB9" s="136" t="str">
        <f>IF(AND(C15&gt;=40,C15&lt;=64),(W9),"")</f>
        <v/>
      </c>
      <c r="AC9" s="133">
        <f>IF(C15&lt;40,0,IF(C15&lt;=64,1,IF(C15&gt;65,0,)))</f>
        <v>0</v>
      </c>
    </row>
    <row r="10" spans="2:29" ht="18" customHeight="1" thickBot="1" x14ac:dyDescent="0.2">
      <c r="B10" s="21"/>
      <c r="C10" s="22"/>
      <c r="N10" s="139"/>
      <c r="O10" s="25">
        <f>IF((P9+P10-100000)&lt;=0, 0, (P9+P10-100000))</f>
        <v>0</v>
      </c>
      <c r="P10" s="25">
        <f>IF(O9&lt;=0,0,IF(S9&lt;=0,0,(IF(S9&lt;=100000,S9,100000))))</f>
        <v>0</v>
      </c>
      <c r="Q10" s="137"/>
      <c r="R10" s="25">
        <f>IF(E15&lt;=1100000,0,IF(E15&lt;=3299999,E15-1100000,IF(E15&lt;=4099999,E15*0.75-275000,IF(E15&lt;=7699999,E15*0.85-685000,IF(E15&lt;=9999999,E15*0.95-1455000, IF(E15&gt;=10000000,E15-1955000))))))</f>
        <v>0</v>
      </c>
      <c r="S10" s="26">
        <f>IF(C15&lt;=64,R9,IF(R10-150000&lt;=0,0,R10-150000))</f>
        <v>0</v>
      </c>
      <c r="T10" s="140"/>
      <c r="U10" s="26">
        <f>Q9+S10+T9</f>
        <v>0</v>
      </c>
      <c r="V10" s="142"/>
      <c r="W10" s="144"/>
      <c r="X10" s="140"/>
      <c r="Y10" s="8"/>
      <c r="Z10" s="139"/>
      <c r="AA10" s="120"/>
      <c r="AB10" s="137"/>
      <c r="AC10" s="133"/>
    </row>
    <row r="11" spans="2:29" ht="18" customHeight="1" thickBot="1" x14ac:dyDescent="0.2">
      <c r="B11" s="21"/>
      <c r="C11" s="22"/>
      <c r="N11" s="138" t="s">
        <v>16</v>
      </c>
      <c r="O11" s="23">
        <f>IF(D16&lt;=650999,0,IF(D16&lt;=1899999,D16-650000,(IF(D16&lt;=3599999,ROUNDDOWN(D16/4,-3)*4*0.7-80000,IF(D16&lt;=6599999,ROUNDDOWN(D16/4,-3)*4*0.8-440000,IF(D16&lt;=8499999,D16*0.9-1100000,D16-1950000))))))</f>
        <v>0</v>
      </c>
      <c r="P11" s="23">
        <f>IF(O11&lt;=0,0,IF(S11&lt;=0,0,(IF(O11&lt;=100000,O11,100000))))</f>
        <v>0</v>
      </c>
      <c r="Q11" s="136">
        <f>O11-O12</f>
        <v>0</v>
      </c>
      <c r="R11" s="23">
        <f>IF(E16&lt;=600000,0,IF(E16&lt;=1299999,E16-600000,IF(E16&lt;=4099999,E16*0.75-275000,IF(E16&lt;=7699999,E16*0.85-685000,IF(E16&lt;=9999999,E16*0.95-1455000, IF(E16&gt;=10000000,E16-1955000))))))</f>
        <v>0</v>
      </c>
      <c r="S11" s="24">
        <f>IF(C16&lt;=64,R11,R12)</f>
        <v>0</v>
      </c>
      <c r="T11" s="140">
        <f>F16</f>
        <v>0</v>
      </c>
      <c r="U11" s="24">
        <f>Q11+S11+T11</f>
        <v>0</v>
      </c>
      <c r="V11" s="141">
        <f>IF(U11&lt;=24000000, 430000, IF(U11&lt;=24500000, 290000, IF(U11&lt;=25000000, 150000, 0)))</f>
        <v>430000</v>
      </c>
      <c r="W11" s="143" t="str">
        <f>IF((U11-V11)&lt;0,"",(U11-V11))</f>
        <v/>
      </c>
      <c r="X11" s="140">
        <f>IF(Q11&gt;0, 1, IF(S12&gt;0, 1, 0))</f>
        <v>0</v>
      </c>
      <c r="Y11" s="8"/>
      <c r="Z11" s="138" t="s">
        <v>16</v>
      </c>
      <c r="AA11" s="119"/>
      <c r="AB11" s="136" t="str">
        <f>IF(AND(C16&gt;=40,C16&lt;=64),(W11),"")</f>
        <v/>
      </c>
      <c r="AC11" s="133">
        <f>IF(C16&lt;40,0,IF(C16&lt;=64,1,IF(C16&gt;65,0,)))</f>
        <v>0</v>
      </c>
    </row>
    <row r="12" spans="2:29" ht="18" customHeight="1" thickBot="1" x14ac:dyDescent="0.2">
      <c r="B12" s="21"/>
      <c r="G12" s="1"/>
      <c r="N12" s="139"/>
      <c r="O12" s="25">
        <f>IF((P11+P12-100000)&lt;=0, 0, (P11+P12-100000))</f>
        <v>0</v>
      </c>
      <c r="P12" s="25">
        <f>IF(O11&lt;=0,0,IF(S11&lt;=0,0,(IF(S11&lt;=100000,S11,100000))))</f>
        <v>0</v>
      </c>
      <c r="Q12" s="137"/>
      <c r="R12" s="25">
        <f>IF(E16&lt;=1100000,0,IF(E16&lt;=3299999,E16-1100000,IF(E16&lt;=4099999,E16*0.75-275000,IF(E16&lt;=7699999,E16*0.85-685000,IF(E16&lt;=9999999,E16*0.95-1455000, IF(E16&gt;=10000000,E16-1955000))))))</f>
        <v>0</v>
      </c>
      <c r="S12" s="26">
        <f>IF(C16&lt;=64,R11,IF(R12-150000&lt;=0,0,R12-150000))</f>
        <v>0</v>
      </c>
      <c r="T12" s="140"/>
      <c r="U12" s="26">
        <f>Q11+S12+T11</f>
        <v>0</v>
      </c>
      <c r="V12" s="142"/>
      <c r="W12" s="144"/>
      <c r="X12" s="140"/>
      <c r="Y12" s="8"/>
      <c r="Z12" s="139"/>
      <c r="AA12" s="120"/>
      <c r="AB12" s="137"/>
      <c r="AC12" s="133"/>
    </row>
    <row r="13" spans="2:29" ht="18" customHeight="1" thickBot="1" x14ac:dyDescent="0.2">
      <c r="N13" s="138" t="s">
        <v>17</v>
      </c>
      <c r="O13" s="23">
        <f>IF(D17&lt;=650999,0,IF(D17&lt;=1899999,D17-650000,(IF(D17&lt;=3599999,ROUNDDOWN(D17/4,-3)*4*0.7-80000,IF(D17&lt;=6599999,ROUNDDOWN(D17/4,-3)*4*0.8-440000,IF(D17&lt;=8499999,D17*0.9-1100000,D17-1950000))))))</f>
        <v>0</v>
      </c>
      <c r="P13" s="23">
        <f>IF(O13&lt;=0,0,IF(S13&lt;=0,0,(IF(O13&lt;=100000,O13,100000))))</f>
        <v>0</v>
      </c>
      <c r="Q13" s="136">
        <f>O13-O14</f>
        <v>0</v>
      </c>
      <c r="R13" s="23">
        <f>IF(E17&lt;=600000,0,IF(E17&lt;=1299999,E17-600000,IF(E17&lt;=4099999,E17*0.75-275000,IF(E17&lt;=7699999,E17*0.85-685000,IF(E17&lt;=9999999,E17*0.95-1455000, IF(E17&gt;=10000000,E17-1955000))))))</f>
        <v>0</v>
      </c>
      <c r="S13" s="24">
        <f>IF(C17&lt;=64,R13,R14)</f>
        <v>0</v>
      </c>
      <c r="T13" s="140">
        <f>F17</f>
        <v>0</v>
      </c>
      <c r="U13" s="24">
        <f>Q13+S13+T13</f>
        <v>0</v>
      </c>
      <c r="V13" s="141">
        <f>IF(U13&lt;=24000000, 430000, IF(U13&lt;=24500000, 290000, IF(U13&lt;=25000000, 150000, 0)))</f>
        <v>430000</v>
      </c>
      <c r="W13" s="143" t="str">
        <f>IF((U13-V13)&lt;0,"",(U13-V13))</f>
        <v/>
      </c>
      <c r="X13" s="140">
        <f>IF(Q13&gt;0, 1, IF(S14&gt;0, 1, 0))</f>
        <v>0</v>
      </c>
      <c r="Y13" s="8"/>
      <c r="Z13" s="138" t="s">
        <v>17</v>
      </c>
      <c r="AA13" s="119"/>
      <c r="AB13" s="136" t="str">
        <f>IF(AND(C17&gt;=40,C17&lt;=64),(W13),"")</f>
        <v/>
      </c>
      <c r="AC13" s="133">
        <f>IF(C17&lt;40,0,IF(C17&lt;=64,1,IF(C17&gt;65,0,)))</f>
        <v>0</v>
      </c>
    </row>
    <row r="14" spans="2:29" ht="45" customHeight="1" thickBot="1" x14ac:dyDescent="0.2">
      <c r="B14" s="27" t="s">
        <v>18</v>
      </c>
      <c r="C14" s="28" t="s">
        <v>85</v>
      </c>
      <c r="D14" s="28" t="s">
        <v>19</v>
      </c>
      <c r="E14" s="28" t="s">
        <v>20</v>
      </c>
      <c r="F14" s="28" t="s">
        <v>21</v>
      </c>
      <c r="G14" s="29" t="s">
        <v>22</v>
      </c>
      <c r="N14" s="139"/>
      <c r="O14" s="25">
        <f>IF((P13+P14-100000)&lt;=0, 0, (P13+P14-100000))</f>
        <v>0</v>
      </c>
      <c r="P14" s="25">
        <f>IF(O13&lt;=0,0,IF(S13&lt;=0,0,(IF(S13&lt;=100000,S13,100000))))</f>
        <v>0</v>
      </c>
      <c r="Q14" s="137"/>
      <c r="R14" s="25">
        <f>IF(E17&lt;=1100000,0,IF(E17&lt;=3299999,E17-1100000,IF(E17&lt;=4099999,E17*0.75-275000,IF(E17&lt;=7699999,E17*0.85-685000,IF(E17&lt;=9999999,E17*0.95-1455000, IF(E17&gt;=10000000,E17-1955000))))))</f>
        <v>0</v>
      </c>
      <c r="S14" s="26">
        <f>IF(C17&lt;=64,R13,IF(R14-150000&lt;=0,0,R14-150000))</f>
        <v>0</v>
      </c>
      <c r="T14" s="140"/>
      <c r="U14" s="26">
        <f>Q13+S14+T13</f>
        <v>0</v>
      </c>
      <c r="V14" s="142"/>
      <c r="W14" s="144"/>
      <c r="X14" s="140"/>
      <c r="Y14" s="8"/>
      <c r="Z14" s="139"/>
      <c r="AA14" s="120"/>
      <c r="AB14" s="137"/>
      <c r="AC14" s="133"/>
    </row>
    <row r="15" spans="2:29" ht="18" customHeight="1" thickBot="1" x14ac:dyDescent="0.2">
      <c r="B15" s="30" t="str">
        <f>IF(C15="","","国保加入 １人目")</f>
        <v/>
      </c>
      <c r="C15" s="31"/>
      <c r="D15" s="32"/>
      <c r="E15" s="32"/>
      <c r="F15" s="32"/>
      <c r="G15" s="33"/>
      <c r="N15" s="138" t="s">
        <v>23</v>
      </c>
      <c r="O15" s="23">
        <f>IF(D18&lt;=650999,0,IF(D18&lt;=1899999,D18-650000,(IF(D18&lt;=3599999,ROUNDDOWN(D18/4,-3)*4*0.7-80000,IF(D18&lt;=6599999,ROUNDDOWN(D18/4,-3)*4*0.8-440000,IF(D18&lt;=8499999,D18*0.9-1100000,D18-1950000))))))</f>
        <v>0</v>
      </c>
      <c r="P15" s="23">
        <f>IF(O15&lt;=0,0,IF(S15&lt;=0,0,(IF(O15&lt;=100000,O15,100000))))</f>
        <v>0</v>
      </c>
      <c r="Q15" s="136">
        <f>O15-O16</f>
        <v>0</v>
      </c>
      <c r="R15" s="23">
        <f>IF(E18&lt;=600000,0,IF(E18&lt;=1299999,E18-600000,IF(E18&lt;=4099999,E18*0.75-275000,IF(E18&lt;=7699999,E18*0.85-685000,IF(E18&lt;=9999999,E18*0.95-1455000, IF(E18&gt;=10000000,E18-1955000))))))</f>
        <v>0</v>
      </c>
      <c r="S15" s="24">
        <f>IF(C18&lt;=64,R15,R16)</f>
        <v>0</v>
      </c>
      <c r="T15" s="140">
        <f>F18</f>
        <v>0</v>
      </c>
      <c r="U15" s="24">
        <f>Q15+S15+T15</f>
        <v>0</v>
      </c>
      <c r="V15" s="141">
        <f>IF(U15&lt;=24000000, 430000, IF(U15&lt;=24500000, 290000, IF(U15&lt;=25000000, 150000, 0)))</f>
        <v>430000</v>
      </c>
      <c r="W15" s="143" t="str">
        <f>IF((U15-V15)&lt;0,"",(U15-V15))</f>
        <v/>
      </c>
      <c r="X15" s="140">
        <f>IF(Q15&gt;0, 1, IF(S16&gt;0, 1, 0))</f>
        <v>0</v>
      </c>
      <c r="Y15" s="8"/>
      <c r="Z15" s="138" t="s">
        <v>23</v>
      </c>
      <c r="AA15" s="119"/>
      <c r="AB15" s="136" t="str">
        <f>IF(AND(C18&gt;=40,C18&lt;=64),(W15),"")</f>
        <v/>
      </c>
      <c r="AC15" s="133">
        <f>IF(C18&lt;40,0,IF(C18&lt;=64,1,IF(C18&gt;65,0,)))</f>
        <v>0</v>
      </c>
    </row>
    <row r="16" spans="2:29" ht="18" customHeight="1" thickBot="1" x14ac:dyDescent="0.2">
      <c r="B16" s="34" t="str">
        <f>IF(C16="","","国保加入 ２人目")</f>
        <v/>
      </c>
      <c r="C16" s="35"/>
      <c r="D16" s="32"/>
      <c r="E16" s="32"/>
      <c r="F16" s="32"/>
      <c r="G16" s="36"/>
      <c r="N16" s="139"/>
      <c r="O16" s="25">
        <f>IF((P15+P16-100000)&lt;=0, 0, (P15+P16-100000))</f>
        <v>0</v>
      </c>
      <c r="P16" s="25">
        <f>IF(O15&lt;=0,0,IF(S15&lt;=0,0,(IF(S15&lt;=100000,S15,100000))))</f>
        <v>0</v>
      </c>
      <c r="Q16" s="137"/>
      <c r="R16" s="25">
        <f>IF(E18&lt;=1100000,0,IF(E18&lt;=3299999,E18-1100000,IF(E18&lt;=4099999,E18*0.75-275000,IF(E18&lt;=7699999,E18*0.85-685000,IF(E18&lt;=9999999,E18*0.95-1455000, IF(E18&gt;=10000000,E18-1955000))))))</f>
        <v>0</v>
      </c>
      <c r="S16" s="26">
        <f>IF(C18&lt;=64,R15,IF(R16-150000&lt;=0,0,R16-150000))</f>
        <v>0</v>
      </c>
      <c r="T16" s="140"/>
      <c r="U16" s="26">
        <f>Q15+S16+T15</f>
        <v>0</v>
      </c>
      <c r="V16" s="142"/>
      <c r="W16" s="144"/>
      <c r="X16" s="140"/>
      <c r="Y16" s="8"/>
      <c r="Z16" s="139"/>
      <c r="AA16" s="120"/>
      <c r="AB16" s="137"/>
      <c r="AC16" s="133"/>
    </row>
    <row r="17" spans="2:29" ht="18" customHeight="1" thickBot="1" x14ac:dyDescent="0.2">
      <c r="B17" s="34" t="str">
        <f>IF(C17="","","国保加入 ３人目")</f>
        <v/>
      </c>
      <c r="C17" s="35"/>
      <c r="D17" s="32"/>
      <c r="E17" s="32"/>
      <c r="F17" s="32"/>
      <c r="G17" s="36"/>
      <c r="N17" s="138" t="s">
        <v>24</v>
      </c>
      <c r="O17" s="23">
        <f>IF(D19&lt;=650999,0,IF(D19&lt;=1899999,D19-650000,(IF(D19&lt;=3599999,ROUNDDOWN(D19/4,-3)*4*0.7-80000,IF(D19&lt;=6599999,ROUNDDOWN(D19/4,-3)*4*0.8-440000,IF(D19&lt;=8499999,D19*0.9-1100000,D19-1950000))))))</f>
        <v>0</v>
      </c>
      <c r="P17" s="23">
        <f>IF(O17&lt;=0,0,IF(S17&lt;=0,0,(IF(O17&lt;=100000,O17,100000))))</f>
        <v>0</v>
      </c>
      <c r="Q17" s="136">
        <f>O17-O18</f>
        <v>0</v>
      </c>
      <c r="R17" s="23">
        <f>IF(E19&lt;=600000,0,IF(E19&lt;=1299999,E19-600000,IF(E19&lt;=4099999,E19*0.75-275000,IF(E19&lt;=7699999,E19*0.85-685000,IF(E19&lt;=9999999,E19*0.95-1455000, IF(E19&gt;=10000000,E19-1955000))))))</f>
        <v>0</v>
      </c>
      <c r="S17" s="24">
        <f>IF(C19&lt;=64,R17,R18)</f>
        <v>0</v>
      </c>
      <c r="T17" s="140">
        <f>F19</f>
        <v>0</v>
      </c>
      <c r="U17" s="24">
        <f>Q17+S17+T17</f>
        <v>0</v>
      </c>
      <c r="V17" s="141">
        <f>IF(U17&lt;=24000000, 430000, IF(U17&lt;=24500000, 290000, IF(U17&lt;=25000000, 150000, 0)))</f>
        <v>430000</v>
      </c>
      <c r="W17" s="143" t="str">
        <f>IF((U17-V17)&lt;0,"",(U17-V17))</f>
        <v/>
      </c>
      <c r="X17" s="140">
        <f>IF(Q17&gt;0, 1, IF(S18&gt;0, 1, 0))</f>
        <v>0</v>
      </c>
      <c r="Y17" s="8"/>
      <c r="Z17" s="138" t="s">
        <v>24</v>
      </c>
      <c r="AA17" s="119"/>
      <c r="AB17" s="136" t="str">
        <f>IF(AND(C19&gt;=40,C19&lt;=64),(W17),"")</f>
        <v/>
      </c>
      <c r="AC17" s="133">
        <f>IF(C19&lt;40,0,IF(C19&lt;=64,1,IF(C19&gt;65,0,)))</f>
        <v>0</v>
      </c>
    </row>
    <row r="18" spans="2:29" ht="18" customHeight="1" thickBot="1" x14ac:dyDescent="0.2">
      <c r="B18" s="34" t="str">
        <f>IF(C18="","","国保加入 ４人目")</f>
        <v/>
      </c>
      <c r="C18" s="31"/>
      <c r="D18" s="32"/>
      <c r="E18" s="32"/>
      <c r="F18" s="32"/>
      <c r="G18" s="36"/>
      <c r="N18" s="139"/>
      <c r="O18" s="25">
        <f>IF((P17+P18-100000)&lt;=0, 0, (P17+P18-100000))</f>
        <v>0</v>
      </c>
      <c r="P18" s="25">
        <f>IF(O17&lt;=0,0,IF(S17&lt;=0,0,(IF(S17&lt;=100000,S17,100000))))</f>
        <v>0</v>
      </c>
      <c r="Q18" s="137"/>
      <c r="R18" s="25">
        <f>IF(E19&lt;=1100000,0,IF(E19&lt;=3299999,E19-1100000,IF(E19&lt;=4099999,E19*0.75-275000,IF(E19&lt;=7699999,E19*0.85-685000,IF(E19&lt;=9999999,E19*0.95-1455000, IF(E19&gt;=10000000,E19-1955000))))))</f>
        <v>0</v>
      </c>
      <c r="S18" s="26">
        <f>IF(C19&lt;=64,R17,IF(R18-150000&lt;=0,0,R18-150000))</f>
        <v>0</v>
      </c>
      <c r="T18" s="140"/>
      <c r="U18" s="26">
        <f>Q17+S18+T17</f>
        <v>0</v>
      </c>
      <c r="V18" s="142"/>
      <c r="W18" s="144"/>
      <c r="X18" s="140"/>
      <c r="Y18" s="8"/>
      <c r="Z18" s="139"/>
      <c r="AA18" s="120"/>
      <c r="AB18" s="137"/>
      <c r="AC18" s="133"/>
    </row>
    <row r="19" spans="2:29" ht="18" customHeight="1" thickBot="1" x14ac:dyDescent="0.2">
      <c r="B19" s="34" t="str">
        <f>IF(C19="","","国保加入 ５人目")</f>
        <v/>
      </c>
      <c r="C19" s="31"/>
      <c r="D19" s="32"/>
      <c r="E19" s="32"/>
      <c r="F19" s="32"/>
      <c r="G19" s="36"/>
      <c r="N19" s="138" t="s">
        <v>25</v>
      </c>
      <c r="O19" s="23">
        <f>IF(D20&lt;=650999,0,IF(D20&lt;=1899999,D20-650000,(IF(D20&lt;=3599999,ROUNDDOWN(D20/4,-3)*4*0.7-80000,IF(D20&lt;=6599999,ROUNDDOWN(D20/4,-3)*4*0.8-440000,IF(D20&lt;=8499999,D20*0.9-1100000,D20-1950000))))))</f>
        <v>0</v>
      </c>
      <c r="P19" s="23">
        <f>IF(O19&lt;=0,0,IF(S19&lt;=0,0,(IF(O19&lt;=100000,O19,100000))))</f>
        <v>0</v>
      </c>
      <c r="Q19" s="136">
        <f>O19-O20</f>
        <v>0</v>
      </c>
      <c r="R19" s="23">
        <f>IF(E20&lt;=600000,0,IF(E20&lt;=1299999,E20-600000,IF(E20&lt;=4099999,E20*0.75-275000,IF(E20&lt;=7699999,E20*0.85-685000,IF(E20&lt;=9999999,E20*0.95-1455000, IF(E20&gt;=10000000,E20-1955000))))))</f>
        <v>0</v>
      </c>
      <c r="S19" s="24">
        <f>IF(C20&lt;=64,R19,R20)</f>
        <v>0</v>
      </c>
      <c r="T19" s="140">
        <f>F20</f>
        <v>0</v>
      </c>
      <c r="U19" s="24">
        <f>Q19+S19+T19</f>
        <v>0</v>
      </c>
      <c r="V19" s="141">
        <f>IF(U19&lt;=24000000, 430000, IF(U19&lt;=24500000, 290000, IF(U19&lt;=25000000, 150000, 0)))</f>
        <v>430000</v>
      </c>
      <c r="W19" s="143" t="str">
        <f>IF((U19-V19)&lt;0,"",(U19-V19))</f>
        <v/>
      </c>
      <c r="X19" s="140">
        <f>IF(Q19&gt;0, 1, IF(S20&gt;0, 1, 0))</f>
        <v>0</v>
      </c>
      <c r="Y19" s="8"/>
      <c r="Z19" s="145" t="s">
        <v>25</v>
      </c>
      <c r="AA19" s="119"/>
      <c r="AB19" s="136" t="str">
        <f>IF(AND(C20&gt;=40,C20&lt;=64),(W19),"")</f>
        <v/>
      </c>
      <c r="AC19" s="133">
        <f>IF(C20&lt;40,0,IF(C20&lt;=64,1,IF(C20&gt;65,0,)))</f>
        <v>0</v>
      </c>
    </row>
    <row r="20" spans="2:29" ht="18" customHeight="1" thickBot="1" x14ac:dyDescent="0.2">
      <c r="B20" s="34" t="str">
        <f>IF(C20="","","国保加入 ６人目")</f>
        <v/>
      </c>
      <c r="C20" s="35"/>
      <c r="D20" s="32"/>
      <c r="E20" s="32"/>
      <c r="F20" s="32"/>
      <c r="G20" s="36"/>
      <c r="N20" s="139"/>
      <c r="O20" s="25">
        <f>IF((P19+P20-100000)&lt;=0, 0, (P19+P20-100000))</f>
        <v>0</v>
      </c>
      <c r="P20" s="25">
        <f>IF(O19&lt;=0,0,IF(S19&lt;=0,0,(IF(S19&lt;=100000,S19,100000))))</f>
        <v>0</v>
      </c>
      <c r="Q20" s="137"/>
      <c r="R20" s="25">
        <f>IF(E20&lt;=1100000,0,IF(E20&lt;=3299999,E20-1100000,IF(E20&lt;=4099999,E20*0.75-275000,IF(E20&lt;=7699999,E20*0.85-685000,IF(E20&lt;=9999999,E20*0.95-1455000, IF(E20&gt;=10000000,E20-1955000))))))</f>
        <v>0</v>
      </c>
      <c r="S20" s="26">
        <f>IF(C20&lt;=64,R19,IF(R20-150000&lt;=0,0,R20-150000))</f>
        <v>0</v>
      </c>
      <c r="T20" s="140"/>
      <c r="U20" s="26">
        <f>Q19+S20+T19</f>
        <v>0</v>
      </c>
      <c r="V20" s="142"/>
      <c r="W20" s="144"/>
      <c r="X20" s="140"/>
      <c r="Y20" s="8"/>
      <c r="Z20" s="145"/>
      <c r="AA20" s="120"/>
      <c r="AB20" s="137"/>
      <c r="AC20" s="133"/>
    </row>
    <row r="21" spans="2:29" ht="18" customHeight="1" thickBot="1" x14ac:dyDescent="0.2">
      <c r="B21" s="34" t="str">
        <f>IF(C21="","","国保加入 ７人目")</f>
        <v/>
      </c>
      <c r="C21" s="35"/>
      <c r="D21" s="32"/>
      <c r="E21" s="32"/>
      <c r="F21" s="32"/>
      <c r="G21" s="36"/>
      <c r="N21" s="138" t="s">
        <v>26</v>
      </c>
      <c r="O21" s="23">
        <f>IF(D21&lt;=650999,0,IF(D21&lt;=1899999,D21-650000,(IF(D21&lt;=3599999,ROUNDDOWN(D21/4,-3)*4*0.7-80000,IF(D21&lt;=6599999,ROUNDDOWN(D21/4,-3)*4*0.8-440000,IF(D21&lt;=8499999,D21*0.9-1100000,D21-1950000))))))</f>
        <v>0</v>
      </c>
      <c r="P21" s="23">
        <f>IF(O21&lt;=0,0,IF(S21&lt;=0,0,(IF(O21&lt;=100000,O21,100000))))</f>
        <v>0</v>
      </c>
      <c r="Q21" s="136">
        <f>O21-O22</f>
        <v>0</v>
      </c>
      <c r="R21" s="23">
        <f>IF(E21&lt;=600000,0,IF(E21&lt;=1299999,E21-600000,IF(E21&lt;=4099999,E21*0.75-275000,IF(E21&lt;=7699999,E21*0.85-685000,IF(E21&lt;=9999999,E21*0.95-1455000, IF(E21&gt;=10000000,E21-1955000))))))</f>
        <v>0</v>
      </c>
      <c r="S21" s="24">
        <f>IF(C21&lt;=64,R21,R22)</f>
        <v>0</v>
      </c>
      <c r="T21" s="140">
        <f>F21</f>
        <v>0</v>
      </c>
      <c r="U21" s="24">
        <f>Q21+S21+T21</f>
        <v>0</v>
      </c>
      <c r="V21" s="141">
        <f>IF(U21&lt;=24000000, 430000, IF(U21&lt;=24500000, 290000, IF(U21&lt;=25000000, 150000, 0)))</f>
        <v>430000</v>
      </c>
      <c r="W21" s="143" t="str">
        <f>IF((U21-V21)&lt;0,"",(U21-V21))</f>
        <v/>
      </c>
      <c r="X21" s="140">
        <f>IF(Q21&gt;0, 1, IF(S22&gt;0, 1, 0))</f>
        <v>0</v>
      </c>
      <c r="Y21" s="8"/>
      <c r="Z21" s="145" t="s">
        <v>26</v>
      </c>
      <c r="AA21" s="119"/>
      <c r="AB21" s="136" t="str">
        <f>IF(AND(C21&gt;=40,C21&lt;=64),(W21),"")</f>
        <v/>
      </c>
      <c r="AC21" s="133">
        <f>IF(C21&lt;40,0,IF(C21&lt;=64,1,IF(C21&gt;65,0,)))</f>
        <v>0</v>
      </c>
    </row>
    <row r="22" spans="2:29" ht="18" customHeight="1" thickBot="1" x14ac:dyDescent="0.2">
      <c r="B22" s="37" t="str">
        <f>IF(C22="","","国保加入 ８人目")</f>
        <v/>
      </c>
      <c r="C22" s="38"/>
      <c r="D22" s="121"/>
      <c r="E22" s="39"/>
      <c r="F22" s="39"/>
      <c r="G22" s="40"/>
      <c r="N22" s="139"/>
      <c r="O22" s="25">
        <f>IF((P21+P22-100000)&lt;=0, 0, (P21+P22-100000))</f>
        <v>0</v>
      </c>
      <c r="P22" s="25">
        <f>IF(O21&lt;=0,0,IF(S21&lt;=0,0,(IF(S21&lt;=100000,S21,100000))))</f>
        <v>0</v>
      </c>
      <c r="Q22" s="137"/>
      <c r="R22" s="25">
        <f>IF(E21&lt;=1100000,0,IF(E21&lt;=3299999,E21-1100000,IF(E21&lt;=4099999,E21*0.75-275000,IF(E21&lt;=7699999,E21*0.85-685000,IF(E21&lt;=9999999,E21*0.95-1455000, IF(E21&gt;=10000000,E21-1955000))))))</f>
        <v>0</v>
      </c>
      <c r="S22" s="26">
        <f>IF(C21&lt;=64,R21,IF(R22-150000&lt;=0,0,R22-150000))</f>
        <v>0</v>
      </c>
      <c r="T22" s="140"/>
      <c r="U22" s="26">
        <f>Q21+S22+T21</f>
        <v>0</v>
      </c>
      <c r="V22" s="142"/>
      <c r="W22" s="144"/>
      <c r="X22" s="140"/>
      <c r="Y22" s="8"/>
      <c r="Z22" s="145"/>
      <c r="AA22" s="120"/>
      <c r="AB22" s="137"/>
      <c r="AC22" s="133"/>
    </row>
    <row r="23" spans="2:29" ht="18" customHeight="1" thickBot="1" x14ac:dyDescent="0.2">
      <c r="B23" s="21"/>
      <c r="C23" s="21"/>
      <c r="G23" s="21"/>
      <c r="N23" s="138" t="s">
        <v>27</v>
      </c>
      <c r="O23" s="23">
        <f>IF(D22&lt;=650999,0,IF(D22&lt;=1899999,D22-650000,(IF(D22&lt;=3599999,ROUNDDOWN(D22/4,-3)*4*0.7-80000,IF(D22&lt;=6599999,ROUNDDOWN(D22/4,-3)*4*0.8-440000,IF(D22&lt;=8499999,D22*0.9-1100000,D22-1950000))))))</f>
        <v>0</v>
      </c>
      <c r="P23" s="23">
        <f>IF(O23&lt;=0,0,IF(S23&lt;=0,0,(IF(O23&lt;=100000,O23,100000))))</f>
        <v>0</v>
      </c>
      <c r="Q23" s="136">
        <f>O23-O24</f>
        <v>0</v>
      </c>
      <c r="R23" s="23">
        <f>IF(E22&lt;=600000,0,IF(E22&lt;=1299999,E22-600000,IF(E22&lt;=4099999,E22*0.75-275000,IF(E22&lt;=7699999,E22*0.85-685000,IF(E22&lt;=9999999,E22*0.95-1455000, IF(E22&gt;=10000000,E22-1955000))))))</f>
        <v>0</v>
      </c>
      <c r="S23" s="24">
        <f>IF(C22&lt;=64,R23,R24)</f>
        <v>0</v>
      </c>
      <c r="T23" s="140">
        <f>F22</f>
        <v>0</v>
      </c>
      <c r="U23" s="24">
        <f>Q23+S23+T23</f>
        <v>0</v>
      </c>
      <c r="V23" s="141">
        <f>IF(U23&lt;=24000000, 430000, IF(U23&lt;=24500000, 290000, IF(U23&lt;=25000000, 150000, 0)))</f>
        <v>430000</v>
      </c>
      <c r="W23" s="143" t="str">
        <f>IF((U23-V23)&lt;0,"",(U23-V23))</f>
        <v/>
      </c>
      <c r="X23" s="140">
        <f>IF(Q23&gt;0, 1, IF(S24&gt;0, 1, 0))</f>
        <v>0</v>
      </c>
      <c r="Y23" s="8"/>
      <c r="Z23" s="145" t="s">
        <v>27</v>
      </c>
      <c r="AA23" s="119"/>
      <c r="AB23" s="136" t="str">
        <f>IF(AND(C22&gt;=40,C22&lt;=64),(W23),"")</f>
        <v/>
      </c>
      <c r="AC23" s="133">
        <f>IF(C22&lt;40,0,IF(C22&lt;=64,1,IF(C22&gt;65,0,)))</f>
        <v>0</v>
      </c>
    </row>
    <row r="24" spans="2:29" ht="18" customHeight="1" thickBot="1" x14ac:dyDescent="0.2">
      <c r="B24" s="41"/>
      <c r="C24" s="42"/>
      <c r="N24" s="139"/>
      <c r="O24" s="25">
        <f>IF((P23+P24-100000)&lt;=0, 0, (P23+P24-100000))</f>
        <v>0</v>
      </c>
      <c r="P24" s="25">
        <f>IF(O23&lt;=0,0,IF(S23&lt;=0,0,(IF(S23&lt;=100000,S23,100000))))</f>
        <v>0</v>
      </c>
      <c r="Q24" s="137"/>
      <c r="R24" s="25">
        <f>IF(E22&lt;=1100000,0,IF(E22&lt;=3299999,E22-1100000,IF(E22&lt;=4099999,E22*0.75-275000,IF(E22&lt;=7699999,E22*0.85-685000,IF(E22&lt;=9999999,E22*0.95-1455000, IF(E22&gt;=10000000,E22-1955000))))))</f>
        <v>0</v>
      </c>
      <c r="S24" s="26">
        <f>IF(C22&lt;=64,R23,IF(R24-150000&lt;=0,0,R24-150000))</f>
        <v>0</v>
      </c>
      <c r="T24" s="140"/>
      <c r="U24" s="26">
        <f>Q23+S24+T23</f>
        <v>0</v>
      </c>
      <c r="V24" s="142"/>
      <c r="W24" s="144"/>
      <c r="X24" s="140"/>
      <c r="Y24" s="8"/>
      <c r="Z24" s="145"/>
      <c r="AA24" s="120"/>
      <c r="AB24" s="137"/>
      <c r="AC24" s="133"/>
    </row>
    <row r="25" spans="2:29" ht="18" customHeight="1" x14ac:dyDescent="0.15">
      <c r="N25" s="130"/>
      <c r="O25" s="43"/>
      <c r="P25" s="43"/>
      <c r="Q25" s="134"/>
      <c r="R25" s="43"/>
      <c r="S25" s="44"/>
      <c r="T25" s="132"/>
      <c r="U25" s="44"/>
      <c r="V25" s="8"/>
      <c r="W25" s="8"/>
      <c r="X25" s="132"/>
      <c r="Y25" s="8"/>
      <c r="Z25" s="8"/>
      <c r="AA25" s="8"/>
      <c r="AB25" s="8"/>
      <c r="AC25" s="8"/>
    </row>
    <row r="26" spans="2:29" ht="21" customHeight="1" x14ac:dyDescent="0.15">
      <c r="C26" s="135"/>
      <c r="D26" s="135"/>
      <c r="N26" s="130"/>
      <c r="O26" s="43"/>
      <c r="P26" s="43"/>
      <c r="Q26" s="134"/>
      <c r="R26" s="43"/>
      <c r="S26" s="44"/>
      <c r="T26" s="132"/>
      <c r="U26" s="44"/>
      <c r="V26" s="8"/>
      <c r="W26" s="8"/>
      <c r="X26" s="132"/>
      <c r="Y26" s="8"/>
      <c r="Z26" s="8"/>
      <c r="AA26" s="8"/>
      <c r="AB26" s="8"/>
      <c r="AC26" s="8"/>
    </row>
    <row r="27" spans="2:29" ht="21" customHeight="1" x14ac:dyDescent="0.15">
      <c r="C27" s="45">
        <f>COUNTIF($B$15:$B$22,"国保加入*")</f>
        <v>0</v>
      </c>
      <c r="D27" s="46">
        <f>IF(C27=0,0,VLOOKUP($C$5,加入月,2))</f>
        <v>0</v>
      </c>
      <c r="N27" s="130"/>
      <c r="O27" s="131"/>
      <c r="P27" s="47"/>
      <c r="Q27" s="132"/>
      <c r="R27" s="131"/>
      <c r="S27" s="44"/>
      <c r="T27" s="132"/>
      <c r="U27" s="44"/>
      <c r="V27" s="8"/>
      <c r="W27" s="8"/>
      <c r="X27" s="132"/>
      <c r="Y27" s="8"/>
      <c r="Z27" s="8"/>
      <c r="AA27" s="8"/>
      <c r="AB27" s="8"/>
      <c r="AC27" s="8"/>
    </row>
    <row r="28" spans="2:29" ht="21" customHeight="1" x14ac:dyDescent="0.15">
      <c r="C28" s="126" t="s">
        <v>28</v>
      </c>
      <c r="D28" s="127"/>
      <c r="E28" s="48"/>
      <c r="N28" s="130"/>
      <c r="O28" s="131"/>
      <c r="P28" s="47"/>
      <c r="Q28" s="132"/>
      <c r="R28" s="131"/>
      <c r="S28" s="49"/>
      <c r="T28" s="132"/>
      <c r="U28" s="49"/>
      <c r="V28" s="8"/>
      <c r="W28" s="8"/>
      <c r="X28" s="132"/>
      <c r="Y28" s="8"/>
      <c r="Z28" s="8"/>
      <c r="AA28" s="8"/>
      <c r="AB28" s="8"/>
      <c r="AC28" s="8"/>
    </row>
    <row r="29" spans="2:29" ht="16.5" customHeight="1" thickBot="1" x14ac:dyDescent="0.45">
      <c r="C29" s="48"/>
      <c r="D29" s="48"/>
      <c r="E29" s="48"/>
      <c r="F29" s="50"/>
      <c r="G29" s="51"/>
    </row>
    <row r="30" spans="2:29" ht="26.25" customHeight="1" thickTop="1" thickBot="1" x14ac:dyDescent="0.45">
      <c r="C30" s="52" t="s">
        <v>29</v>
      </c>
      <c r="D30" s="53">
        <f>AB55</f>
        <v>0</v>
      </c>
      <c r="F30" s="50"/>
      <c r="G30" s="51"/>
    </row>
    <row r="31" spans="2:29" ht="21" customHeight="1" thickTop="1" x14ac:dyDescent="0.4">
      <c r="C31" s="123" t="s">
        <v>30</v>
      </c>
      <c r="D31" s="54">
        <f>Y54</f>
        <v>0</v>
      </c>
      <c r="F31" s="50"/>
      <c r="G31" s="51"/>
    </row>
    <row r="32" spans="2:29" ht="21" customHeight="1" x14ac:dyDescent="0.4">
      <c r="C32" s="124" t="s">
        <v>31</v>
      </c>
      <c r="D32" s="55">
        <f>Z54</f>
        <v>0</v>
      </c>
      <c r="F32" s="50"/>
      <c r="G32" s="51"/>
    </row>
    <row r="33" spans="2:35" ht="21" customHeight="1" x14ac:dyDescent="0.4">
      <c r="C33" s="124" t="s">
        <v>89</v>
      </c>
      <c r="D33" s="122">
        <f>AA54</f>
        <v>0</v>
      </c>
      <c r="F33" s="50"/>
      <c r="G33" s="51"/>
    </row>
    <row r="34" spans="2:35" ht="21" customHeight="1" x14ac:dyDescent="0.4">
      <c r="C34" s="125" t="s">
        <v>32</v>
      </c>
      <c r="D34" s="56">
        <f>AB54</f>
        <v>0</v>
      </c>
      <c r="F34" s="50"/>
      <c r="G34" s="51"/>
    </row>
    <row r="35" spans="2:35" ht="21" customHeight="1" x14ac:dyDescent="0.4">
      <c r="C35" s="10" t="s">
        <v>33</v>
      </c>
      <c r="E35" s="59"/>
      <c r="F35" s="50"/>
      <c r="G35" s="51"/>
    </row>
    <row r="36" spans="2:35" ht="20.100000000000001" customHeight="1" x14ac:dyDescent="0.4">
      <c r="B36" s="60"/>
      <c r="C36" s="57" t="s">
        <v>34</v>
      </c>
      <c r="D36" s="58">
        <f>IF(D27=0,0,D30/D27)</f>
        <v>0</v>
      </c>
      <c r="F36" s="50"/>
      <c r="G36" s="51"/>
      <c r="L36" s="61" t="s">
        <v>90</v>
      </c>
    </row>
    <row r="37" spans="2:35" s="65" customFormat="1" ht="20.100000000000001" customHeight="1" x14ac:dyDescent="0.4">
      <c r="B37" s="62"/>
      <c r="C37" s="10"/>
      <c r="D37" s="10"/>
      <c r="E37" s="62"/>
      <c r="F37" s="63"/>
      <c r="G37" s="64"/>
    </row>
    <row r="38" spans="2:35" s="65" customFormat="1" ht="20.100000000000001" customHeight="1" x14ac:dyDescent="0.4">
      <c r="B38" s="62"/>
      <c r="C38" s="62"/>
      <c r="D38" s="62"/>
      <c r="E38" s="62"/>
      <c r="F38" s="63"/>
      <c r="G38" s="64"/>
    </row>
    <row r="39" spans="2:35" s="65" customFormat="1" ht="20.100000000000001" customHeight="1" x14ac:dyDescent="0.4">
      <c r="B39" s="62"/>
      <c r="C39" s="62"/>
      <c r="D39" s="62"/>
      <c r="E39" s="62"/>
      <c r="F39" s="63"/>
      <c r="G39" s="64"/>
      <c r="N39" s="128">
        <f>D27</f>
        <v>0</v>
      </c>
      <c r="O39" s="129"/>
    </row>
    <row r="40" spans="2:35" s="65" customFormat="1" ht="20.100000000000001" customHeight="1" x14ac:dyDescent="0.4">
      <c r="B40" s="62"/>
      <c r="C40" s="62"/>
      <c r="D40" s="62"/>
      <c r="E40" s="62"/>
      <c r="F40" s="63"/>
      <c r="G40" s="63"/>
      <c r="H40" s="64"/>
    </row>
    <row r="41" spans="2:35" s="65" customFormat="1" ht="20.100000000000001" customHeight="1" x14ac:dyDescent="0.4">
      <c r="B41" s="62"/>
      <c r="C41" s="62"/>
      <c r="D41" s="62"/>
      <c r="E41" s="62"/>
      <c r="F41" s="62"/>
      <c r="G41" s="62"/>
      <c r="H41" s="62"/>
      <c r="I41" s="62"/>
      <c r="J41" s="62"/>
      <c r="K41" s="62"/>
      <c r="N41" s="66" t="s">
        <v>35</v>
      </c>
      <c r="Y41" s="65" t="s">
        <v>36</v>
      </c>
    </row>
    <row r="42" spans="2:35" s="65" customFormat="1" ht="20.100000000000001" customHeight="1" x14ac:dyDescent="0.4">
      <c r="B42" s="67"/>
      <c r="C42" s="62"/>
      <c r="D42" s="62"/>
      <c r="E42" s="62"/>
      <c r="F42" s="62"/>
      <c r="G42" s="62"/>
      <c r="H42" s="62"/>
      <c r="I42" s="62"/>
      <c r="J42" s="62"/>
      <c r="K42" s="62"/>
      <c r="N42" s="68" t="s">
        <v>37</v>
      </c>
      <c r="O42" s="68" t="s">
        <v>38</v>
      </c>
      <c r="P42" s="68" t="s">
        <v>39</v>
      </c>
      <c r="Q42" s="68" t="s">
        <v>40</v>
      </c>
      <c r="R42" s="68" t="s">
        <v>41</v>
      </c>
      <c r="S42" s="68" t="s">
        <v>42</v>
      </c>
      <c r="T42" s="69" t="s">
        <v>43</v>
      </c>
      <c r="U42" s="69" t="s">
        <v>44</v>
      </c>
      <c r="V42" s="69" t="s">
        <v>41</v>
      </c>
      <c r="W42" s="70" t="s">
        <v>45</v>
      </c>
      <c r="X42" s="70" t="s">
        <v>46</v>
      </c>
      <c r="Y42" s="71" t="s">
        <v>47</v>
      </c>
      <c r="Z42" s="71" t="s">
        <v>48</v>
      </c>
      <c r="AA42" s="71" t="s">
        <v>88</v>
      </c>
      <c r="AB42" s="71" t="s">
        <v>49</v>
      </c>
      <c r="AD42" s="72" t="s">
        <v>50</v>
      </c>
      <c r="AE42" s="72" t="s">
        <v>51</v>
      </c>
      <c r="AF42" s="72" t="s">
        <v>52</v>
      </c>
      <c r="AG42" s="72" t="s">
        <v>53</v>
      </c>
      <c r="AH42" s="72" t="s">
        <v>54</v>
      </c>
      <c r="AI42" s="72" t="s">
        <v>55</v>
      </c>
    </row>
    <row r="43" spans="2:35" s="65" customFormat="1" ht="20.100000000000001" customHeight="1" x14ac:dyDescent="0.4">
      <c r="B43" s="62"/>
      <c r="C43" s="62"/>
      <c r="D43" s="62"/>
      <c r="E43" s="62"/>
      <c r="F43" s="62"/>
      <c r="G43" s="62"/>
      <c r="H43" s="62"/>
      <c r="I43" s="62"/>
      <c r="J43" s="62"/>
      <c r="K43" s="62"/>
      <c r="N43" s="73" t="str">
        <f>B15</f>
        <v/>
      </c>
      <c r="O43" s="73" t="str">
        <f>IF(C15="","",C15)</f>
        <v/>
      </c>
      <c r="P43" s="73">
        <f>D15</f>
        <v>0</v>
      </c>
      <c r="Q43" s="73">
        <f t="shared" ref="Q43:S50" si="0">E15</f>
        <v>0</v>
      </c>
      <c r="R43" s="73">
        <f>F15</f>
        <v>0</v>
      </c>
      <c r="S43" s="74">
        <f>G15</f>
        <v>0</v>
      </c>
      <c r="T43" s="75">
        <f>Q9</f>
        <v>0</v>
      </c>
      <c r="U43" s="75">
        <f>S9</f>
        <v>0</v>
      </c>
      <c r="V43" s="75">
        <f>T9</f>
        <v>0</v>
      </c>
      <c r="W43" s="76">
        <f>T43+U43+V43</f>
        <v>0</v>
      </c>
      <c r="X43" s="76">
        <f>IF(IF(S43="有",T43*0.3,T43)+U43+V43&lt;430000,0,IF(S43="有",T43*0.3,T43)+U43+V43-430000)</f>
        <v>0</v>
      </c>
      <c r="Y43" s="77">
        <f>_xlfn.IFS(O43="",0,(X43*$O$55+$O$56),IF(O43&gt;6,(X43*$O$55+$O$56),IF(O43&lt;=6,(X43*$O$55+$O$57))))</f>
        <v>0</v>
      </c>
      <c r="Z43" s="77">
        <f>_xlfn.IFS(O43="",0,(X43*$P$55+$P$56),IF(O43&gt;6,(X43*$P$55+$P$56),IF(O43&lt;=6,(X43*$P$55+$P$57))))</f>
        <v>0</v>
      </c>
      <c r="AA43" s="77">
        <f t="shared" ref="AA43:AA50" si="1">_xlfn.IFS(O43="",0,(X43*$Q$55+$Q$56),IF(O43&gt;18,(X43*$Q$55+$Q$56+28),IF(O43&lt;18,(X43*$Q$55))))</f>
        <v>0</v>
      </c>
      <c r="AB43" s="77">
        <f>IF(OR(O43="",O43&lt;40,O43&gt;64),0,(X43*$R$55+$R$56))</f>
        <v>0</v>
      </c>
      <c r="AD43" s="78">
        <f>VLOOKUP(P43,給与,2)</f>
        <v>0</v>
      </c>
      <c r="AE43" s="79">
        <f t="shared" ref="AE43:AE50" si="2">VLOOKUP(P43,給与,3)</f>
        <v>0</v>
      </c>
      <c r="AF43" s="80">
        <f t="shared" ref="AF43:AF50" si="3">VLOOKUP(P43,給与,4)</f>
        <v>1</v>
      </c>
      <c r="AG43" s="79">
        <f t="shared" ref="AG43:AG50" si="4">VLOOKUP(P43,給与,5)</f>
        <v>650000</v>
      </c>
      <c r="AH43" s="81" t="e">
        <f t="shared" ref="AH43:AH50" si="5">IF(O43&lt;65,VLOOKUP(Q43,年金64歳まで,2),VLOOKUP(Q43,年金65歳以上,2))</f>
        <v>#N/A</v>
      </c>
      <c r="AI43" s="82" t="e">
        <f t="shared" ref="AI43:AI50" si="6">IF(O43&lt;65,VLOOKUP(Q43,年金64歳まで,3),VLOOKUP(Q43,年金65歳以上,3))</f>
        <v>#N/A</v>
      </c>
    </row>
    <row r="44" spans="2:35" s="65" customFormat="1" ht="20.100000000000001" customHeight="1" x14ac:dyDescent="0.4">
      <c r="B44" s="62" t="s">
        <v>56</v>
      </c>
      <c r="C44" s="62"/>
      <c r="D44" s="62"/>
      <c r="E44" s="62"/>
      <c r="F44" s="62"/>
      <c r="G44" s="62"/>
      <c r="H44" s="62"/>
      <c r="I44" s="62"/>
      <c r="J44" s="62"/>
      <c r="K44" s="62"/>
      <c r="N44" s="73" t="str">
        <f t="shared" ref="N44:N50" si="7">B16</f>
        <v/>
      </c>
      <c r="O44" s="73" t="str">
        <f t="shared" ref="O44:O50" si="8">IF(C16="","",C16)</f>
        <v/>
      </c>
      <c r="P44" s="73">
        <f t="shared" ref="P44:P50" si="9">D16</f>
        <v>0</v>
      </c>
      <c r="Q44" s="73">
        <f t="shared" si="0"/>
        <v>0</v>
      </c>
      <c r="R44" s="73">
        <f t="shared" si="0"/>
        <v>0</v>
      </c>
      <c r="S44" s="74">
        <f t="shared" si="0"/>
        <v>0</v>
      </c>
      <c r="T44" s="75">
        <f>Q11</f>
        <v>0</v>
      </c>
      <c r="U44" s="75">
        <f>S11</f>
        <v>0</v>
      </c>
      <c r="V44" s="75">
        <f>T11</f>
        <v>0</v>
      </c>
      <c r="W44" s="76">
        <f t="shared" ref="W44:W49" si="10">T44+U44+V44</f>
        <v>0</v>
      </c>
      <c r="X44" s="76">
        <f t="shared" ref="X44:X49" si="11">IF(IF(S44="有",T44*0.3,T44)+U44+V44&lt;430000,0,IF(S44="有",T44*0.3,T44)+U44+V44-430000)</f>
        <v>0</v>
      </c>
      <c r="Y44" s="77">
        <f>_xlfn.IFS(O44="",0,(X44*$O$55+$O$56),IF(O44&gt;6,(X44*$O$55+$O$56),IF(O44&lt;=6,(X44*$O$55+$O$57))))</f>
        <v>0</v>
      </c>
      <c r="Z44" s="77">
        <f t="shared" ref="Z44:Z50" si="12">_xlfn.IFS(O44="",0,(X44*$P$55+$P$56),IF(O44&gt;6,(X44*$P$55+$P$56),IF(O44&lt;=6,(X44*$P$55+$P$57))))</f>
        <v>0</v>
      </c>
      <c r="AA44" s="77">
        <f t="shared" si="1"/>
        <v>0</v>
      </c>
      <c r="AB44" s="77">
        <f>IF(OR(O44="",O44&lt;40,O44&gt;64),0,(X44*$R$55+$R$56))</f>
        <v>0</v>
      </c>
      <c r="AD44" s="78">
        <f t="shared" ref="AD44:AD50" si="13">VLOOKUP(P44,給与,2)</f>
        <v>0</v>
      </c>
      <c r="AE44" s="79">
        <f t="shared" si="2"/>
        <v>0</v>
      </c>
      <c r="AF44" s="80">
        <f t="shared" si="3"/>
        <v>1</v>
      </c>
      <c r="AG44" s="79">
        <f t="shared" si="4"/>
        <v>650000</v>
      </c>
      <c r="AH44" s="81" t="e">
        <f t="shared" si="5"/>
        <v>#N/A</v>
      </c>
      <c r="AI44" s="82" t="e">
        <f t="shared" si="6"/>
        <v>#N/A</v>
      </c>
    </row>
    <row r="45" spans="2:35" s="65" customFormat="1" ht="20.100000000000001" customHeight="1" x14ac:dyDescent="0.4">
      <c r="B45" s="62"/>
      <c r="C45" s="62"/>
      <c r="D45" s="62"/>
      <c r="E45" s="62"/>
      <c r="F45" s="62"/>
      <c r="G45" s="62"/>
      <c r="H45" s="62"/>
      <c r="I45" s="62"/>
      <c r="J45" s="62"/>
      <c r="K45" s="62"/>
      <c r="N45" s="73" t="str">
        <f t="shared" si="7"/>
        <v/>
      </c>
      <c r="O45" s="73" t="str">
        <f t="shared" si="8"/>
        <v/>
      </c>
      <c r="P45" s="73">
        <f t="shared" si="9"/>
        <v>0</v>
      </c>
      <c r="Q45" s="73">
        <f t="shared" si="0"/>
        <v>0</v>
      </c>
      <c r="R45" s="73">
        <f t="shared" si="0"/>
        <v>0</v>
      </c>
      <c r="S45" s="74">
        <f t="shared" si="0"/>
        <v>0</v>
      </c>
      <c r="T45" s="75">
        <f>Q13</f>
        <v>0</v>
      </c>
      <c r="U45" s="75">
        <f>S13</f>
        <v>0</v>
      </c>
      <c r="V45" s="75">
        <f>T13</f>
        <v>0</v>
      </c>
      <c r="W45" s="76">
        <f>T45+U45+V45</f>
        <v>0</v>
      </c>
      <c r="X45" s="76">
        <f t="shared" si="11"/>
        <v>0</v>
      </c>
      <c r="Y45" s="77">
        <f t="shared" ref="Y45:Y50" si="14">_xlfn.IFS(O45="",0,(X45*$O$55+$O$56),IF(O45&gt;6,(X45*$O$55+$O$56),IF(O45&lt;=6,(X45*$O$55+$O$57))))</f>
        <v>0</v>
      </c>
      <c r="Z45" s="77">
        <f t="shared" si="12"/>
        <v>0</v>
      </c>
      <c r="AA45" s="77">
        <f t="shared" si="1"/>
        <v>0</v>
      </c>
      <c r="AB45" s="77">
        <f t="shared" ref="AB45:AB50" si="15">IF(OR(O45="",O45&lt;40,O45&gt;64),0,(X45*$Q$55+$Q$56))</f>
        <v>0</v>
      </c>
      <c r="AD45" s="78">
        <f t="shared" si="13"/>
        <v>0</v>
      </c>
      <c r="AE45" s="79">
        <f t="shared" si="2"/>
        <v>0</v>
      </c>
      <c r="AF45" s="80">
        <f t="shared" si="3"/>
        <v>1</v>
      </c>
      <c r="AG45" s="79">
        <f t="shared" si="4"/>
        <v>650000</v>
      </c>
      <c r="AH45" s="81" t="e">
        <f t="shared" si="5"/>
        <v>#N/A</v>
      </c>
      <c r="AI45" s="82" t="e">
        <f t="shared" si="6"/>
        <v>#N/A</v>
      </c>
    </row>
    <row r="46" spans="2:35" s="65" customFormat="1" ht="20.100000000000001" customHeight="1" x14ac:dyDescent="0.4">
      <c r="B46" s="62" t="s">
        <v>57</v>
      </c>
      <c r="C46" s="62"/>
      <c r="D46" s="62"/>
      <c r="E46" s="62"/>
      <c r="F46" s="62"/>
      <c r="G46" s="62"/>
      <c r="H46" s="62"/>
      <c r="I46" s="62"/>
      <c r="J46" s="62"/>
      <c r="K46" s="62"/>
      <c r="N46" s="73" t="str">
        <f t="shared" si="7"/>
        <v/>
      </c>
      <c r="O46" s="73" t="str">
        <f t="shared" si="8"/>
        <v/>
      </c>
      <c r="P46" s="73">
        <f t="shared" si="9"/>
        <v>0</v>
      </c>
      <c r="Q46" s="73">
        <f t="shared" si="0"/>
        <v>0</v>
      </c>
      <c r="R46" s="73">
        <f t="shared" si="0"/>
        <v>0</v>
      </c>
      <c r="S46" s="74">
        <f t="shared" si="0"/>
        <v>0</v>
      </c>
      <c r="T46" s="75">
        <f>Q15</f>
        <v>0</v>
      </c>
      <c r="U46" s="75">
        <f>S15</f>
        <v>0</v>
      </c>
      <c r="V46" s="75">
        <f>T15</f>
        <v>0</v>
      </c>
      <c r="W46" s="76">
        <f t="shared" si="10"/>
        <v>0</v>
      </c>
      <c r="X46" s="76">
        <f t="shared" si="11"/>
        <v>0</v>
      </c>
      <c r="Y46" s="77">
        <f t="shared" si="14"/>
        <v>0</v>
      </c>
      <c r="Z46" s="77">
        <f t="shared" si="12"/>
        <v>0</v>
      </c>
      <c r="AA46" s="77">
        <f t="shared" si="1"/>
        <v>0</v>
      </c>
      <c r="AB46" s="77">
        <f t="shared" si="15"/>
        <v>0</v>
      </c>
      <c r="AD46" s="78">
        <f t="shared" si="13"/>
        <v>0</v>
      </c>
      <c r="AE46" s="79">
        <f t="shared" si="2"/>
        <v>0</v>
      </c>
      <c r="AF46" s="80">
        <f t="shared" si="3"/>
        <v>1</v>
      </c>
      <c r="AG46" s="79">
        <f t="shared" si="4"/>
        <v>650000</v>
      </c>
      <c r="AH46" s="81" t="e">
        <f t="shared" si="5"/>
        <v>#N/A</v>
      </c>
      <c r="AI46" s="82" t="e">
        <f t="shared" si="6"/>
        <v>#N/A</v>
      </c>
    </row>
    <row r="47" spans="2:35" s="65" customFormat="1" ht="20.100000000000001" customHeight="1" x14ac:dyDescent="0.4">
      <c r="B47" s="62"/>
      <c r="C47" s="62"/>
      <c r="D47" s="62"/>
      <c r="E47" s="62"/>
      <c r="F47" s="62"/>
      <c r="G47" s="62"/>
      <c r="H47" s="62"/>
      <c r="I47" s="62"/>
      <c r="J47" s="62"/>
      <c r="K47" s="62"/>
      <c r="N47" s="73" t="str">
        <f t="shared" si="7"/>
        <v/>
      </c>
      <c r="O47" s="73" t="str">
        <f t="shared" si="8"/>
        <v/>
      </c>
      <c r="P47" s="73">
        <f t="shared" si="9"/>
        <v>0</v>
      </c>
      <c r="Q47" s="73">
        <f t="shared" si="0"/>
        <v>0</v>
      </c>
      <c r="R47" s="73">
        <f t="shared" si="0"/>
        <v>0</v>
      </c>
      <c r="S47" s="74">
        <f t="shared" si="0"/>
        <v>0</v>
      </c>
      <c r="T47" s="75">
        <f>Q17</f>
        <v>0</v>
      </c>
      <c r="U47" s="75">
        <f>S17</f>
        <v>0</v>
      </c>
      <c r="V47" s="75">
        <f>T17</f>
        <v>0</v>
      </c>
      <c r="W47" s="76">
        <f t="shared" si="10"/>
        <v>0</v>
      </c>
      <c r="X47" s="76">
        <f t="shared" si="11"/>
        <v>0</v>
      </c>
      <c r="Y47" s="77">
        <f t="shared" si="14"/>
        <v>0</v>
      </c>
      <c r="Z47" s="77">
        <f t="shared" si="12"/>
        <v>0</v>
      </c>
      <c r="AA47" s="77">
        <f t="shared" si="1"/>
        <v>0</v>
      </c>
      <c r="AB47" s="77">
        <f t="shared" si="15"/>
        <v>0</v>
      </c>
      <c r="AD47" s="78">
        <f t="shared" si="13"/>
        <v>0</v>
      </c>
      <c r="AE47" s="79">
        <f t="shared" si="2"/>
        <v>0</v>
      </c>
      <c r="AF47" s="80">
        <f t="shared" si="3"/>
        <v>1</v>
      </c>
      <c r="AG47" s="79">
        <f t="shared" si="4"/>
        <v>650000</v>
      </c>
      <c r="AH47" s="81" t="e">
        <f t="shared" si="5"/>
        <v>#N/A</v>
      </c>
      <c r="AI47" s="82" t="e">
        <f t="shared" si="6"/>
        <v>#N/A</v>
      </c>
    </row>
    <row r="48" spans="2:35" s="65" customFormat="1" ht="20.100000000000001" customHeight="1" x14ac:dyDescent="0.4">
      <c r="B48" s="62"/>
      <c r="C48" s="62"/>
      <c r="D48" s="62"/>
      <c r="E48" s="62"/>
      <c r="F48" s="62"/>
      <c r="G48" s="62"/>
      <c r="H48" s="62"/>
      <c r="I48" s="62"/>
      <c r="J48" s="62"/>
      <c r="K48" s="62"/>
      <c r="N48" s="73" t="str">
        <f t="shared" si="7"/>
        <v/>
      </c>
      <c r="O48" s="73" t="str">
        <f t="shared" si="8"/>
        <v/>
      </c>
      <c r="P48" s="73">
        <f t="shared" si="9"/>
        <v>0</v>
      </c>
      <c r="Q48" s="73">
        <f t="shared" si="0"/>
        <v>0</v>
      </c>
      <c r="R48" s="73">
        <f t="shared" si="0"/>
        <v>0</v>
      </c>
      <c r="S48" s="74">
        <f t="shared" si="0"/>
        <v>0</v>
      </c>
      <c r="T48" s="75">
        <f>Q19</f>
        <v>0</v>
      </c>
      <c r="U48" s="75">
        <f>S19</f>
        <v>0</v>
      </c>
      <c r="V48" s="75">
        <f>T19</f>
        <v>0</v>
      </c>
      <c r="W48" s="76">
        <f t="shared" si="10"/>
        <v>0</v>
      </c>
      <c r="X48" s="76">
        <f t="shared" si="11"/>
        <v>0</v>
      </c>
      <c r="Y48" s="77">
        <f t="shared" si="14"/>
        <v>0</v>
      </c>
      <c r="Z48" s="77">
        <f t="shared" si="12"/>
        <v>0</v>
      </c>
      <c r="AA48" s="77">
        <f t="shared" si="1"/>
        <v>0</v>
      </c>
      <c r="AB48" s="77">
        <f t="shared" si="15"/>
        <v>0</v>
      </c>
      <c r="AD48" s="78">
        <f t="shared" si="13"/>
        <v>0</v>
      </c>
      <c r="AE48" s="79">
        <f t="shared" si="2"/>
        <v>0</v>
      </c>
      <c r="AF48" s="80">
        <f t="shared" si="3"/>
        <v>1</v>
      </c>
      <c r="AG48" s="79">
        <f t="shared" si="4"/>
        <v>650000</v>
      </c>
      <c r="AH48" s="81" t="e">
        <f t="shared" si="5"/>
        <v>#N/A</v>
      </c>
      <c r="AI48" s="82" t="e">
        <f t="shared" si="6"/>
        <v>#N/A</v>
      </c>
    </row>
    <row r="49" spans="2:35" s="65" customFormat="1" ht="20.100000000000001" customHeight="1" x14ac:dyDescent="0.4">
      <c r="B49" s="62"/>
      <c r="C49" s="62"/>
      <c r="D49" s="62"/>
      <c r="E49" s="62"/>
      <c r="F49" s="62"/>
      <c r="G49" s="62"/>
      <c r="H49" s="62"/>
      <c r="I49" s="62"/>
      <c r="J49" s="62"/>
      <c r="K49" s="62"/>
      <c r="N49" s="73" t="str">
        <f t="shared" si="7"/>
        <v/>
      </c>
      <c r="O49" s="73" t="str">
        <f t="shared" si="8"/>
        <v/>
      </c>
      <c r="P49" s="73">
        <f t="shared" si="9"/>
        <v>0</v>
      </c>
      <c r="Q49" s="73">
        <f t="shared" si="0"/>
        <v>0</v>
      </c>
      <c r="R49" s="73">
        <f t="shared" si="0"/>
        <v>0</v>
      </c>
      <c r="S49" s="74">
        <f t="shared" si="0"/>
        <v>0</v>
      </c>
      <c r="T49" s="75">
        <f>Q21</f>
        <v>0</v>
      </c>
      <c r="U49" s="75">
        <f>S21</f>
        <v>0</v>
      </c>
      <c r="V49" s="75">
        <f>T21</f>
        <v>0</v>
      </c>
      <c r="W49" s="76">
        <f t="shared" si="10"/>
        <v>0</v>
      </c>
      <c r="X49" s="76">
        <f t="shared" si="11"/>
        <v>0</v>
      </c>
      <c r="Y49" s="77">
        <f t="shared" si="14"/>
        <v>0</v>
      </c>
      <c r="Z49" s="77">
        <f t="shared" si="12"/>
        <v>0</v>
      </c>
      <c r="AA49" s="77">
        <f t="shared" si="1"/>
        <v>0</v>
      </c>
      <c r="AB49" s="77">
        <f t="shared" si="15"/>
        <v>0</v>
      </c>
      <c r="AD49" s="78">
        <f t="shared" si="13"/>
        <v>0</v>
      </c>
      <c r="AE49" s="79">
        <f t="shared" si="2"/>
        <v>0</v>
      </c>
      <c r="AF49" s="80">
        <f t="shared" si="3"/>
        <v>1</v>
      </c>
      <c r="AG49" s="79">
        <f t="shared" si="4"/>
        <v>650000</v>
      </c>
      <c r="AH49" s="81" t="e">
        <f t="shared" si="5"/>
        <v>#N/A</v>
      </c>
      <c r="AI49" s="82" t="e">
        <f t="shared" si="6"/>
        <v>#N/A</v>
      </c>
    </row>
    <row r="50" spans="2:35" s="65" customFormat="1" ht="20.100000000000001" customHeight="1" x14ac:dyDescent="0.4">
      <c r="B50" s="62"/>
      <c r="C50" s="62"/>
      <c r="D50" s="62"/>
      <c r="E50" s="62"/>
      <c r="F50" s="62"/>
      <c r="G50" s="62"/>
      <c r="H50" s="62"/>
      <c r="I50" s="62"/>
      <c r="J50" s="62"/>
      <c r="K50" s="62"/>
      <c r="N50" s="73" t="str">
        <f t="shared" si="7"/>
        <v/>
      </c>
      <c r="O50" s="73" t="str">
        <f t="shared" si="8"/>
        <v/>
      </c>
      <c r="P50" s="73">
        <f t="shared" si="9"/>
        <v>0</v>
      </c>
      <c r="Q50" s="73">
        <f t="shared" si="0"/>
        <v>0</v>
      </c>
      <c r="R50" s="73">
        <f t="shared" si="0"/>
        <v>0</v>
      </c>
      <c r="S50" s="74">
        <f t="shared" si="0"/>
        <v>0</v>
      </c>
      <c r="T50" s="75">
        <f>Q23</f>
        <v>0</v>
      </c>
      <c r="U50" s="75">
        <f>S23</f>
        <v>0</v>
      </c>
      <c r="V50" s="75">
        <f>T23</f>
        <v>0</v>
      </c>
      <c r="W50" s="76">
        <f>T50+U50+V50</f>
        <v>0</v>
      </c>
      <c r="X50" s="76">
        <f>IF(IF(S50="有",T50*0.3,T50)+U50+V50&lt;430000,0,IF(S50="有",T50*0.3,T50)+U50+V50-430000)</f>
        <v>0</v>
      </c>
      <c r="Y50" s="77">
        <f t="shared" si="14"/>
        <v>0</v>
      </c>
      <c r="Z50" s="77">
        <f t="shared" si="12"/>
        <v>0</v>
      </c>
      <c r="AA50" s="77">
        <f t="shared" si="1"/>
        <v>0</v>
      </c>
      <c r="AB50" s="77">
        <f t="shared" si="15"/>
        <v>0</v>
      </c>
      <c r="AD50" s="78">
        <f t="shared" si="13"/>
        <v>0</v>
      </c>
      <c r="AE50" s="79">
        <f t="shared" si="2"/>
        <v>0</v>
      </c>
      <c r="AF50" s="80">
        <f t="shared" si="3"/>
        <v>1</v>
      </c>
      <c r="AG50" s="79">
        <f t="shared" si="4"/>
        <v>650000</v>
      </c>
      <c r="AH50" s="81" t="e">
        <f t="shared" si="5"/>
        <v>#N/A</v>
      </c>
      <c r="AI50" s="82" t="e">
        <f t="shared" si="6"/>
        <v>#N/A</v>
      </c>
    </row>
    <row r="51" spans="2:35" s="65" customFormat="1" ht="20.100000000000001" customHeight="1" x14ac:dyDescent="0.4">
      <c r="B51" s="62"/>
      <c r="C51" s="62"/>
      <c r="D51" s="62"/>
      <c r="E51" s="62"/>
      <c r="F51" s="62"/>
      <c r="G51" s="62"/>
      <c r="H51" s="62"/>
      <c r="I51" s="62"/>
      <c r="J51" s="62"/>
      <c r="K51" s="62"/>
      <c r="N51" s="83"/>
      <c r="O51" s="83"/>
      <c r="P51" s="83"/>
      <c r="Q51" s="83"/>
      <c r="S51" s="83"/>
      <c r="T51" s="83"/>
      <c r="U51" s="83"/>
      <c r="V51" s="83"/>
      <c r="W51" s="83"/>
      <c r="X51" s="84" t="s">
        <v>58</v>
      </c>
      <c r="Y51" s="85">
        <f>IF(SUM(Y43:Y50)=0,0,ROUNDDOWN(SUM(Y43:Y50)+O58,-2))</f>
        <v>0</v>
      </c>
      <c r="Z51" s="85">
        <f>IF(SUM(Z43:Z50)=0,0,ROUNDDOWN(SUM(Z43:Z50)+P58,-2))</f>
        <v>0</v>
      </c>
      <c r="AA51" s="85">
        <f>IF(SUM(AA43:AA50)=0,0,ROUNDDOWN(SUM(AA43:AA50)+Q58,-2))</f>
        <v>0</v>
      </c>
      <c r="AB51" s="85">
        <f>IF(SUM(AB43:AB50)=0,0,ROUNDDOWN(SUM(AB43:AB50)+R58,-2))</f>
        <v>0</v>
      </c>
      <c r="AD51" s="83"/>
      <c r="AE51" s="83"/>
      <c r="AF51" s="83"/>
      <c r="AG51" s="83"/>
      <c r="AH51" s="83"/>
      <c r="AI51" s="83"/>
    </row>
    <row r="52" spans="2:35" s="65" customFormat="1" ht="20.100000000000001" customHeight="1" x14ac:dyDescent="0.4">
      <c r="B52" s="62"/>
      <c r="C52" s="62"/>
      <c r="D52" s="62"/>
      <c r="E52" s="62"/>
      <c r="F52" s="62"/>
      <c r="G52" s="62"/>
      <c r="H52" s="62"/>
      <c r="I52" s="62"/>
      <c r="J52" s="62"/>
      <c r="K52" s="62"/>
      <c r="W52" s="86" t="s">
        <v>59</v>
      </c>
      <c r="X52" s="87" t="s">
        <v>60</v>
      </c>
      <c r="Y52" s="88">
        <f>IF(Y51&lt;$O$59,Y51,$O$59)</f>
        <v>0</v>
      </c>
      <c r="Z52" s="88">
        <f>IF(Z51&lt;$P$59,Z51,$P$59)</f>
        <v>0</v>
      </c>
      <c r="AA52" s="88">
        <f>IF(AA51&lt;$Q$59,AA51,$Q$59)</f>
        <v>0</v>
      </c>
      <c r="AB52" s="88">
        <f>IF(AB51&lt;$R$59,AB51,$R$59)</f>
        <v>0</v>
      </c>
    </row>
    <row r="53" spans="2:35" s="65" customFormat="1" ht="20.100000000000001" customHeight="1" x14ac:dyDescent="0.4">
      <c r="B53" s="62"/>
      <c r="C53" s="62"/>
      <c r="D53" s="62"/>
      <c r="E53" s="62"/>
      <c r="F53" s="62"/>
      <c r="G53" s="62"/>
      <c r="H53" s="62"/>
      <c r="I53" s="62"/>
      <c r="J53" s="62"/>
      <c r="K53" s="62"/>
      <c r="N53" s="117" t="s">
        <v>61</v>
      </c>
      <c r="O53" s="89"/>
      <c r="S53" s="90" t="s">
        <v>62</v>
      </c>
      <c r="AB53" s="88">
        <f>Y52+Z52+AA52+AB52</f>
        <v>0</v>
      </c>
    </row>
    <row r="54" spans="2:35" s="65" customFormat="1" ht="20.100000000000001" customHeight="1" x14ac:dyDescent="0.4">
      <c r="B54" s="62"/>
      <c r="C54" s="62"/>
      <c r="D54" s="62"/>
      <c r="E54" s="62"/>
      <c r="F54" s="62"/>
      <c r="G54" s="62"/>
      <c r="H54" s="62"/>
      <c r="I54" s="62"/>
      <c r="J54" s="62"/>
      <c r="K54" s="62"/>
      <c r="N54" s="91"/>
      <c r="O54" s="92" t="s">
        <v>63</v>
      </c>
      <c r="P54" s="92" t="s">
        <v>64</v>
      </c>
      <c r="Q54" s="92" t="s">
        <v>88</v>
      </c>
      <c r="R54" s="92" t="s">
        <v>65</v>
      </c>
      <c r="S54" s="93" t="s">
        <v>42</v>
      </c>
      <c r="W54" s="94" t="s">
        <v>66</v>
      </c>
      <c r="X54" s="87" t="s">
        <v>60</v>
      </c>
      <c r="Y54" s="88">
        <f>ROUNDDOWN(Y52*N39/12,-2)</f>
        <v>0</v>
      </c>
      <c r="Z54" s="88">
        <f>ROUNDDOWN(Z52*N39/12,-2)</f>
        <v>0</v>
      </c>
      <c r="AA54" s="88">
        <f>ROUNDDOWN(AA52*N39/12,-2)</f>
        <v>0</v>
      </c>
      <c r="AB54" s="88">
        <f>ROUNDDOWN(AB52*N39/12,-2)</f>
        <v>0</v>
      </c>
    </row>
    <row r="55" spans="2:35" s="65" customFormat="1" ht="20.100000000000001" customHeight="1" x14ac:dyDescent="0.4">
      <c r="B55" s="62"/>
      <c r="C55" s="62"/>
      <c r="D55" s="62"/>
      <c r="E55" s="62"/>
      <c r="F55" s="62"/>
      <c r="G55" s="62"/>
      <c r="H55" s="62"/>
      <c r="I55" s="62"/>
      <c r="J55" s="62"/>
      <c r="K55" s="62"/>
      <c r="N55" s="95" t="s">
        <v>67</v>
      </c>
      <c r="O55" s="96">
        <v>8.2000000000000003E-2</v>
      </c>
      <c r="P55" s="96">
        <v>2.7799999999999998E-2</v>
      </c>
      <c r="Q55" s="96">
        <v>2.8E-3</v>
      </c>
      <c r="R55" s="96">
        <v>2.5000000000000001E-2</v>
      </c>
      <c r="S55" s="77" t="s">
        <v>68</v>
      </c>
      <c r="T55" s="97"/>
      <c r="AB55" s="88">
        <f>Y54+Z54+AA54+AB54</f>
        <v>0</v>
      </c>
    </row>
    <row r="56" spans="2:35" s="65" customFormat="1" ht="20.100000000000001" customHeight="1" x14ac:dyDescent="0.4">
      <c r="B56" s="62"/>
      <c r="C56" s="62"/>
      <c r="D56" s="62"/>
      <c r="E56" s="62"/>
      <c r="F56" s="62"/>
      <c r="G56" s="62"/>
      <c r="H56" s="62"/>
      <c r="I56" s="62"/>
      <c r="J56" s="62"/>
      <c r="K56" s="62"/>
      <c r="N56" s="98" t="s">
        <v>69</v>
      </c>
      <c r="O56" s="99">
        <v>35794</v>
      </c>
      <c r="P56" s="99">
        <v>12082</v>
      </c>
      <c r="Q56" s="99">
        <v>1262</v>
      </c>
      <c r="R56" s="99">
        <v>12812</v>
      </c>
      <c r="S56" s="77" t="s">
        <v>70</v>
      </c>
      <c r="T56" s="97"/>
    </row>
    <row r="57" spans="2:35" s="65" customFormat="1" ht="20.100000000000001" customHeight="1" x14ac:dyDescent="0.4">
      <c r="B57" s="62"/>
      <c r="C57" s="62"/>
      <c r="D57" s="62"/>
      <c r="E57" s="62"/>
      <c r="F57" s="62"/>
      <c r="G57" s="62"/>
      <c r="H57" s="62"/>
      <c r="I57" s="62"/>
      <c r="J57" s="62"/>
      <c r="K57" s="62"/>
      <c r="N57" s="100" t="s">
        <v>71</v>
      </c>
      <c r="O57" s="99">
        <v>17897</v>
      </c>
      <c r="P57" s="99">
        <v>6041</v>
      </c>
      <c r="Q57" s="101"/>
      <c r="R57" s="101"/>
      <c r="T57" s="97"/>
    </row>
    <row r="58" spans="2:35" s="65" customFormat="1" ht="20.100000000000001" customHeight="1" x14ac:dyDescent="0.4">
      <c r="B58" s="62"/>
      <c r="C58" s="62"/>
      <c r="D58" s="62"/>
      <c r="E58" s="62"/>
      <c r="F58" s="62"/>
      <c r="G58" s="62"/>
      <c r="H58" s="62"/>
      <c r="I58" s="62"/>
      <c r="J58" s="62"/>
      <c r="K58" s="62"/>
      <c r="N58" s="98" t="s">
        <v>72</v>
      </c>
      <c r="O58" s="99">
        <v>22570</v>
      </c>
      <c r="P58" s="99">
        <v>7618</v>
      </c>
      <c r="Q58" s="99">
        <v>772</v>
      </c>
      <c r="R58" s="99">
        <v>6200</v>
      </c>
    </row>
    <row r="59" spans="2:35" s="65" customFormat="1" ht="20.100000000000001" customHeight="1" x14ac:dyDescent="0.4">
      <c r="B59" s="62"/>
      <c r="C59" s="62"/>
      <c r="D59" s="62"/>
      <c r="E59" s="62"/>
      <c r="F59" s="62"/>
      <c r="G59" s="62"/>
      <c r="H59" s="62"/>
      <c r="I59" s="62"/>
      <c r="J59" s="62"/>
      <c r="K59" s="62"/>
      <c r="N59" s="95" t="s">
        <v>73</v>
      </c>
      <c r="O59" s="99">
        <v>670000</v>
      </c>
      <c r="P59" s="99">
        <v>260000</v>
      </c>
      <c r="Q59" s="99">
        <v>30000</v>
      </c>
      <c r="R59" s="99">
        <v>170000</v>
      </c>
    </row>
    <row r="60" spans="2:35" s="65" customFormat="1" ht="20.100000000000001" customHeight="1" x14ac:dyDescent="0.4">
      <c r="B60" s="62"/>
      <c r="C60" s="62"/>
      <c r="D60" s="62"/>
      <c r="E60" s="62"/>
      <c r="F60" s="62"/>
      <c r="G60" s="62"/>
      <c r="H60" s="62"/>
      <c r="I60" s="62"/>
      <c r="J60" s="62"/>
      <c r="K60" s="62"/>
      <c r="Q60" s="65">
        <v>18</v>
      </c>
    </row>
    <row r="61" spans="2:35" s="65" customFormat="1" ht="20.100000000000001" customHeight="1" x14ac:dyDescent="0.4">
      <c r="B61" s="62"/>
      <c r="C61" s="62"/>
      <c r="D61" s="62"/>
      <c r="E61" s="62"/>
      <c r="F61" s="62"/>
      <c r="G61" s="62"/>
      <c r="H61" s="62"/>
      <c r="I61" s="62"/>
      <c r="J61" s="62"/>
      <c r="K61" s="62"/>
      <c r="N61" s="102" t="s">
        <v>74</v>
      </c>
      <c r="O61" s="102"/>
      <c r="T61" s="103" t="s">
        <v>75</v>
      </c>
      <c r="U61" s="102"/>
      <c r="X61" s="118" t="s">
        <v>76</v>
      </c>
    </row>
    <row r="62" spans="2:35" s="65" customFormat="1" ht="20.100000000000001" customHeight="1" x14ac:dyDescent="0.4">
      <c r="B62" s="62"/>
      <c r="C62" s="62"/>
      <c r="D62" s="62"/>
      <c r="E62" s="62"/>
      <c r="F62" s="62"/>
      <c r="G62" s="62"/>
      <c r="H62" s="62"/>
      <c r="I62" s="62"/>
      <c r="J62" s="62"/>
      <c r="K62" s="62"/>
      <c r="N62" s="104" t="s">
        <v>39</v>
      </c>
      <c r="O62" s="105" t="s">
        <v>77</v>
      </c>
      <c r="P62" s="104" t="s">
        <v>78</v>
      </c>
      <c r="Q62" s="106" t="s">
        <v>79</v>
      </c>
      <c r="R62" s="104" t="s">
        <v>80</v>
      </c>
      <c r="T62" s="107" t="s">
        <v>81</v>
      </c>
      <c r="U62" s="105" t="s">
        <v>77</v>
      </c>
      <c r="V62" s="104" t="s">
        <v>80</v>
      </c>
      <c r="X62" s="108" t="s">
        <v>82</v>
      </c>
      <c r="Y62" s="108" t="s">
        <v>83</v>
      </c>
    </row>
    <row r="63" spans="2:35" s="65" customFormat="1" ht="20.100000000000001" customHeight="1" x14ac:dyDescent="0.4">
      <c r="B63" s="62"/>
      <c r="C63" s="62"/>
      <c r="D63" s="62"/>
      <c r="E63" s="62"/>
      <c r="F63" s="62"/>
      <c r="G63" s="62"/>
      <c r="H63" s="62"/>
      <c r="I63" s="62"/>
      <c r="J63" s="62"/>
      <c r="K63" s="62"/>
      <c r="N63" s="70">
        <v>0</v>
      </c>
      <c r="O63" s="109">
        <v>0</v>
      </c>
      <c r="P63" s="70">
        <v>0</v>
      </c>
      <c r="Q63" s="110">
        <v>1</v>
      </c>
      <c r="R63" s="70">
        <v>650000</v>
      </c>
      <c r="T63" s="111"/>
      <c r="U63" s="112"/>
      <c r="V63" s="111"/>
      <c r="X63" s="116">
        <v>46113</v>
      </c>
      <c r="Y63" s="113">
        <v>12</v>
      </c>
    </row>
    <row r="64" spans="2:35" s="65" customFormat="1" ht="20.100000000000001" customHeight="1" x14ac:dyDescent="0.4">
      <c r="B64" s="62"/>
      <c r="C64" s="62"/>
      <c r="D64" s="62"/>
      <c r="E64" s="62"/>
      <c r="F64" s="62"/>
      <c r="G64" s="62"/>
      <c r="H64" s="62"/>
      <c r="I64" s="62"/>
      <c r="J64" s="62"/>
      <c r="K64" s="62"/>
      <c r="N64" s="70">
        <v>551000</v>
      </c>
      <c r="O64" s="109">
        <v>1</v>
      </c>
      <c r="P64" s="70">
        <v>0</v>
      </c>
      <c r="Q64" s="110">
        <v>1</v>
      </c>
      <c r="R64" s="70">
        <v>650000</v>
      </c>
      <c r="T64" s="111"/>
      <c r="U64" s="112"/>
      <c r="V64" s="111"/>
      <c r="X64" s="116">
        <v>46144</v>
      </c>
      <c r="Y64" s="113">
        <v>11</v>
      </c>
    </row>
    <row r="65" spans="2:25" s="65" customFormat="1" ht="20.100000000000001" customHeight="1" x14ac:dyDescent="0.4">
      <c r="B65" s="62"/>
      <c r="C65" s="62"/>
      <c r="D65" s="62"/>
      <c r="E65" s="62"/>
      <c r="F65" s="62"/>
      <c r="G65" s="62"/>
      <c r="H65" s="62"/>
      <c r="I65" s="62"/>
      <c r="J65" s="62"/>
      <c r="K65" s="62"/>
      <c r="N65" s="70">
        <v>1619000</v>
      </c>
      <c r="O65" s="109">
        <v>1</v>
      </c>
      <c r="P65" s="70">
        <v>-3</v>
      </c>
      <c r="Q65" s="110">
        <v>1</v>
      </c>
      <c r="R65" s="70">
        <v>650000</v>
      </c>
      <c r="T65" s="111"/>
      <c r="U65" s="112"/>
      <c r="V65" s="111"/>
      <c r="X65" s="116">
        <v>46174</v>
      </c>
      <c r="Y65" s="113">
        <v>10</v>
      </c>
    </row>
    <row r="66" spans="2:25" s="65" customFormat="1" ht="20.100000000000001" customHeight="1" x14ac:dyDescent="0.4">
      <c r="B66" s="62"/>
      <c r="C66" s="62"/>
      <c r="D66" s="62"/>
      <c r="E66" s="62"/>
      <c r="F66" s="62"/>
      <c r="G66" s="62"/>
      <c r="H66" s="62"/>
      <c r="I66" s="62"/>
      <c r="J66" s="62"/>
      <c r="K66" s="62"/>
      <c r="N66" s="70">
        <v>1620000</v>
      </c>
      <c r="O66" s="109">
        <v>1</v>
      </c>
      <c r="P66" s="70">
        <v>-3</v>
      </c>
      <c r="Q66" s="110">
        <v>1</v>
      </c>
      <c r="R66" s="70">
        <v>650000</v>
      </c>
      <c r="T66" s="111"/>
      <c r="U66" s="112"/>
      <c r="V66" s="111"/>
      <c r="X66" s="116">
        <v>46205</v>
      </c>
      <c r="Y66" s="113">
        <v>9</v>
      </c>
    </row>
    <row r="67" spans="2:25" s="65" customFormat="1" ht="20.100000000000001" customHeight="1" x14ac:dyDescent="0.4">
      <c r="B67" s="62"/>
      <c r="C67" s="62"/>
      <c r="D67" s="62"/>
      <c r="E67" s="62"/>
      <c r="F67" s="62"/>
      <c r="G67" s="62"/>
      <c r="H67" s="62"/>
      <c r="I67" s="62"/>
      <c r="J67" s="62"/>
      <c r="K67" s="62"/>
      <c r="N67" s="70">
        <v>1621000</v>
      </c>
      <c r="O67" s="109">
        <v>1</v>
      </c>
      <c r="P67" s="70">
        <v>-3</v>
      </c>
      <c r="Q67" s="110">
        <v>1</v>
      </c>
      <c r="R67" s="70">
        <v>650000</v>
      </c>
      <c r="T67" s="111"/>
      <c r="U67" s="112"/>
      <c r="V67" s="111"/>
      <c r="X67" s="116">
        <v>46237</v>
      </c>
      <c r="Y67" s="113">
        <v>8</v>
      </c>
    </row>
    <row r="68" spans="2:25" s="65" customFormat="1" ht="20.100000000000001" customHeight="1" x14ac:dyDescent="0.4">
      <c r="B68" s="62"/>
      <c r="C68" s="62"/>
      <c r="D68" s="62"/>
      <c r="E68" s="62"/>
      <c r="F68" s="62"/>
      <c r="G68" s="62"/>
      <c r="H68" s="62"/>
      <c r="I68" s="62"/>
      <c r="J68" s="62"/>
      <c r="K68" s="62"/>
      <c r="N68" s="70">
        <v>1622000</v>
      </c>
      <c r="O68" s="109">
        <v>1</v>
      </c>
      <c r="P68" s="70">
        <v>-3</v>
      </c>
      <c r="Q68" s="110">
        <v>1</v>
      </c>
      <c r="R68" s="70">
        <v>650000</v>
      </c>
      <c r="T68" s="111"/>
      <c r="U68" s="112"/>
      <c r="V68" s="111"/>
      <c r="X68" s="116">
        <v>46267</v>
      </c>
      <c r="Y68" s="113">
        <v>7</v>
      </c>
    </row>
    <row r="69" spans="2:25" s="65" customFormat="1" ht="20.100000000000001" customHeight="1" x14ac:dyDescent="0.4">
      <c r="B69" s="62"/>
      <c r="C69" s="62"/>
      <c r="D69" s="62"/>
      <c r="E69" s="62"/>
      <c r="F69" s="62"/>
      <c r="G69" s="62"/>
      <c r="H69" s="62"/>
      <c r="I69" s="62"/>
      <c r="J69" s="62"/>
      <c r="K69" s="62"/>
      <c r="N69" s="70">
        <v>1623000</v>
      </c>
      <c r="O69" s="109">
        <v>1</v>
      </c>
      <c r="P69" s="70">
        <v>-3</v>
      </c>
      <c r="Q69" s="110">
        <v>1</v>
      </c>
      <c r="R69" s="70">
        <v>650000</v>
      </c>
      <c r="U69" s="114"/>
      <c r="X69" s="116">
        <v>46296</v>
      </c>
      <c r="Y69" s="113">
        <v>6</v>
      </c>
    </row>
    <row r="70" spans="2:25" s="65" customFormat="1" ht="20.100000000000001" customHeight="1" x14ac:dyDescent="0.4">
      <c r="B70" s="62"/>
      <c r="C70" s="62"/>
      <c r="D70" s="62"/>
      <c r="E70" s="62"/>
      <c r="F70" s="62"/>
      <c r="G70" s="62"/>
      <c r="H70" s="62"/>
      <c r="I70" s="62"/>
      <c r="J70" s="62"/>
      <c r="K70" s="62"/>
      <c r="N70" s="70">
        <v>1624000</v>
      </c>
      <c r="O70" s="109">
        <v>1</v>
      </c>
      <c r="P70" s="70">
        <v>-3</v>
      </c>
      <c r="Q70" s="110">
        <v>1</v>
      </c>
      <c r="R70" s="70">
        <v>650000</v>
      </c>
      <c r="T70" s="115" t="s">
        <v>84</v>
      </c>
      <c r="U70" s="105" t="s">
        <v>77</v>
      </c>
      <c r="V70" s="104" t="s">
        <v>80</v>
      </c>
      <c r="X70" s="116">
        <v>46328</v>
      </c>
      <c r="Y70" s="113">
        <v>5</v>
      </c>
    </row>
    <row r="71" spans="2:25" s="65" customFormat="1" ht="20.100000000000001" customHeight="1" x14ac:dyDescent="0.4">
      <c r="B71" s="62"/>
      <c r="C71" s="62"/>
      <c r="D71" s="62"/>
      <c r="E71" s="62"/>
      <c r="F71" s="62"/>
      <c r="G71" s="62"/>
      <c r="H71" s="62"/>
      <c r="I71" s="62"/>
      <c r="J71" s="62"/>
      <c r="K71" s="62"/>
      <c r="N71" s="70">
        <v>1625000</v>
      </c>
      <c r="O71" s="109">
        <v>1</v>
      </c>
      <c r="P71" s="70">
        <v>-3</v>
      </c>
      <c r="Q71" s="110">
        <v>1</v>
      </c>
      <c r="R71" s="70">
        <v>650000</v>
      </c>
      <c r="T71" s="111"/>
      <c r="U71" s="112"/>
      <c r="V71" s="111"/>
      <c r="X71" s="116">
        <v>46357</v>
      </c>
      <c r="Y71" s="113">
        <v>4</v>
      </c>
    </row>
    <row r="72" spans="2:25" s="65" customFormat="1" ht="20.100000000000001" customHeight="1" x14ac:dyDescent="0.4">
      <c r="B72" s="62"/>
      <c r="C72" s="62"/>
      <c r="D72" s="62"/>
      <c r="E72" s="62"/>
      <c r="F72" s="62"/>
      <c r="G72" s="62"/>
      <c r="H72" s="62"/>
      <c r="I72" s="62"/>
      <c r="J72" s="62"/>
      <c r="K72" s="62"/>
      <c r="N72" s="70">
        <v>1626000</v>
      </c>
      <c r="O72" s="109">
        <v>1</v>
      </c>
      <c r="P72" s="70">
        <v>-3</v>
      </c>
      <c r="Q72" s="110">
        <v>1</v>
      </c>
      <c r="R72" s="70">
        <v>650000</v>
      </c>
      <c r="T72" s="111"/>
      <c r="U72" s="112"/>
      <c r="V72" s="111"/>
      <c r="X72" s="116">
        <v>46389</v>
      </c>
      <c r="Y72" s="113">
        <v>3</v>
      </c>
    </row>
    <row r="73" spans="2:25" s="65" customFormat="1" ht="20.100000000000001" customHeight="1" x14ac:dyDescent="0.4">
      <c r="B73" s="62"/>
      <c r="C73" s="62"/>
      <c r="D73" s="62"/>
      <c r="E73" s="62"/>
      <c r="F73" s="62"/>
      <c r="G73" s="62"/>
      <c r="H73" s="62"/>
      <c r="I73" s="62"/>
      <c r="J73" s="62"/>
      <c r="K73" s="62"/>
      <c r="N73" s="70">
        <v>1627000</v>
      </c>
      <c r="O73" s="109">
        <v>1</v>
      </c>
      <c r="P73" s="70">
        <v>-3</v>
      </c>
      <c r="Q73" s="110">
        <v>1</v>
      </c>
      <c r="R73" s="70">
        <v>650000</v>
      </c>
      <c r="T73" s="111"/>
      <c r="U73" s="112"/>
      <c r="V73" s="111"/>
      <c r="X73" s="116">
        <v>46419</v>
      </c>
      <c r="Y73" s="113">
        <v>2</v>
      </c>
    </row>
    <row r="74" spans="2:25" s="65" customFormat="1" ht="20.100000000000001" customHeight="1" x14ac:dyDescent="0.4">
      <c r="B74" s="62"/>
      <c r="C74" s="62"/>
      <c r="D74" s="62"/>
      <c r="E74" s="62"/>
      <c r="F74" s="62"/>
      <c r="G74" s="62"/>
      <c r="H74" s="62"/>
      <c r="I74" s="62"/>
      <c r="J74" s="62"/>
      <c r="K74" s="62"/>
      <c r="N74" s="70">
        <v>1628000</v>
      </c>
      <c r="O74" s="109">
        <v>0.25</v>
      </c>
      <c r="P74" s="70">
        <v>-3</v>
      </c>
      <c r="Q74" s="110">
        <v>1</v>
      </c>
      <c r="R74" s="70">
        <v>650000</v>
      </c>
      <c r="T74" s="111"/>
      <c r="U74" s="112"/>
      <c r="V74" s="111"/>
      <c r="X74" s="116">
        <v>46448</v>
      </c>
      <c r="Y74" s="113">
        <v>1</v>
      </c>
    </row>
    <row r="75" spans="2:25" s="65" customFormat="1" ht="20.100000000000001" customHeight="1" x14ac:dyDescent="0.4">
      <c r="B75" s="62"/>
      <c r="C75" s="62"/>
      <c r="D75" s="62"/>
      <c r="E75" s="62"/>
      <c r="F75" s="62"/>
      <c r="G75" s="62"/>
      <c r="H75" s="62"/>
      <c r="I75" s="62"/>
      <c r="J75" s="62"/>
      <c r="K75" s="62"/>
      <c r="N75" s="70">
        <v>1900000</v>
      </c>
      <c r="O75" s="109">
        <v>0.25</v>
      </c>
      <c r="P75" s="70">
        <v>-3</v>
      </c>
      <c r="Q75" s="110">
        <v>2.8</v>
      </c>
      <c r="R75" s="70">
        <v>80000</v>
      </c>
      <c r="T75" s="111"/>
      <c r="U75" s="112"/>
      <c r="V75" s="111"/>
    </row>
    <row r="76" spans="2:25" s="65" customFormat="1" ht="20.100000000000001" customHeight="1" x14ac:dyDescent="0.4">
      <c r="B76" s="62"/>
      <c r="C76" s="62"/>
      <c r="D76" s="62"/>
      <c r="E76" s="62"/>
      <c r="F76" s="62"/>
      <c r="G76" s="62"/>
      <c r="H76" s="62"/>
      <c r="I76" s="62"/>
      <c r="J76" s="62"/>
      <c r="K76" s="62"/>
      <c r="N76" s="70">
        <v>3600000</v>
      </c>
      <c r="O76" s="109">
        <v>0.25</v>
      </c>
      <c r="P76" s="70">
        <v>-3</v>
      </c>
      <c r="Q76" s="110">
        <v>3.2</v>
      </c>
      <c r="R76" s="70">
        <v>440000</v>
      </c>
      <c r="T76" s="111"/>
      <c r="U76" s="112"/>
      <c r="V76" s="111"/>
    </row>
    <row r="77" spans="2:25" s="65" customFormat="1" ht="20.100000000000001" customHeight="1" x14ac:dyDescent="0.4">
      <c r="B77" s="62"/>
      <c r="C77" s="62"/>
      <c r="D77" s="62"/>
      <c r="E77" s="62"/>
      <c r="F77" s="62"/>
      <c r="G77" s="62"/>
      <c r="H77" s="62"/>
      <c r="I77" s="62"/>
      <c r="J77" s="62"/>
      <c r="K77" s="62"/>
      <c r="N77" s="70">
        <v>6600000</v>
      </c>
      <c r="O77" s="109">
        <v>0.9</v>
      </c>
      <c r="P77" s="70">
        <v>0</v>
      </c>
      <c r="Q77" s="110">
        <v>1</v>
      </c>
      <c r="R77" s="70">
        <v>1100000</v>
      </c>
    </row>
    <row r="78" spans="2:25" s="65" customFormat="1" ht="20.100000000000001" customHeight="1" x14ac:dyDescent="0.4">
      <c r="B78" s="62"/>
      <c r="C78" s="62"/>
      <c r="D78" s="62"/>
      <c r="E78" s="62"/>
      <c r="F78" s="62"/>
      <c r="G78" s="62"/>
      <c r="H78" s="62"/>
      <c r="I78" s="62"/>
      <c r="J78" s="62"/>
      <c r="K78" s="62"/>
      <c r="N78" s="70">
        <v>8500000</v>
      </c>
      <c r="O78" s="109">
        <v>1</v>
      </c>
      <c r="P78" s="70">
        <v>0</v>
      </c>
      <c r="Q78" s="110">
        <v>1</v>
      </c>
      <c r="R78" s="70">
        <v>1950000</v>
      </c>
    </row>
    <row r="79" spans="2:25" s="65" customFormat="1" ht="20.100000000000001" customHeight="1" x14ac:dyDescent="0.4">
      <c r="B79" s="62"/>
      <c r="C79" s="62"/>
      <c r="D79" s="62"/>
      <c r="E79" s="62"/>
      <c r="F79" s="62"/>
      <c r="G79" s="62"/>
      <c r="H79" s="62"/>
      <c r="I79" s="62"/>
      <c r="J79" s="62"/>
      <c r="K79" s="62"/>
      <c r="O79" s="114"/>
    </row>
    <row r="80" spans="2:25" s="65" customFormat="1" ht="20.100000000000001" customHeight="1" x14ac:dyDescent="0.4">
      <c r="B80" s="62"/>
      <c r="C80" s="62"/>
      <c r="D80" s="62"/>
      <c r="E80" s="62"/>
      <c r="F80" s="62"/>
      <c r="G80" s="62"/>
      <c r="H80" s="62"/>
      <c r="I80" s="62"/>
      <c r="J80" s="62"/>
      <c r="K80" s="62"/>
    </row>
    <row r="81" spans="2:18" s="65" customFormat="1" ht="20.100000000000001" customHeight="1" x14ac:dyDescent="0.4">
      <c r="B81" s="62"/>
      <c r="C81" s="62"/>
      <c r="D81" s="62"/>
      <c r="E81" s="62"/>
      <c r="F81" s="62"/>
      <c r="G81" s="62"/>
      <c r="H81" s="62"/>
      <c r="I81" s="62"/>
      <c r="J81" s="62"/>
      <c r="K81" s="62"/>
      <c r="N81" s="1"/>
      <c r="O81" s="1"/>
      <c r="P81" s="1"/>
      <c r="Q81" s="1"/>
      <c r="R81" s="1"/>
    </row>
    <row r="82" spans="2:18" ht="20.100000000000001" customHeight="1" x14ac:dyDescent="0.4">
      <c r="C82" s="62"/>
      <c r="D82" s="62"/>
      <c r="H82" s="10"/>
      <c r="I82" s="10"/>
      <c r="J82" s="10"/>
      <c r="K82" s="10"/>
    </row>
    <row r="83" spans="2:18" ht="14.25" x14ac:dyDescent="0.4">
      <c r="H83" s="10"/>
      <c r="I83" s="10"/>
      <c r="J83" s="10"/>
      <c r="K83" s="10"/>
    </row>
    <row r="84" spans="2:18" ht="14.25" x14ac:dyDescent="0.4">
      <c r="H84" s="10"/>
      <c r="I84" s="10"/>
      <c r="J84" s="10"/>
      <c r="K84" s="10"/>
    </row>
    <row r="85" spans="2:18" ht="14.25" x14ac:dyDescent="0.4">
      <c r="H85" s="10"/>
      <c r="I85" s="10"/>
      <c r="J85" s="10"/>
      <c r="K85" s="10"/>
    </row>
    <row r="86" spans="2:18" ht="14.25" x14ac:dyDescent="0.4">
      <c r="H86" s="10"/>
      <c r="I86" s="10"/>
      <c r="J86" s="10"/>
      <c r="K86" s="10"/>
    </row>
    <row r="87" spans="2:18" ht="14.25" x14ac:dyDescent="0.4">
      <c r="H87" s="10"/>
      <c r="I87" s="10"/>
      <c r="J87" s="10"/>
      <c r="K87" s="10"/>
    </row>
    <row r="88" spans="2:18" ht="14.25" x14ac:dyDescent="0.4">
      <c r="H88" s="10"/>
      <c r="I88" s="10"/>
      <c r="J88" s="10"/>
      <c r="K88" s="10"/>
    </row>
    <row r="89" spans="2:18" ht="14.25" x14ac:dyDescent="0.4">
      <c r="H89" s="10"/>
      <c r="I89" s="10"/>
      <c r="J89" s="10"/>
      <c r="K89" s="10"/>
    </row>
    <row r="90" spans="2:18" ht="14.25" x14ac:dyDescent="0.4">
      <c r="H90" s="10"/>
      <c r="I90" s="10"/>
      <c r="J90" s="10"/>
      <c r="K90" s="10"/>
    </row>
    <row r="91" spans="2:18" ht="14.25" x14ac:dyDescent="0.4">
      <c r="H91" s="10"/>
      <c r="I91" s="10"/>
      <c r="J91" s="10"/>
      <c r="K91" s="10"/>
    </row>
    <row r="92" spans="2:18" ht="14.25" x14ac:dyDescent="0.4">
      <c r="H92" s="10"/>
      <c r="I92" s="10"/>
      <c r="J92" s="10"/>
      <c r="K92" s="10"/>
    </row>
    <row r="93" spans="2:18" ht="14.25" x14ac:dyDescent="0.4">
      <c r="H93" s="10"/>
      <c r="I93" s="10"/>
      <c r="J93" s="10"/>
      <c r="K93" s="10"/>
    </row>
    <row r="94" spans="2:18" ht="14.25" x14ac:dyDescent="0.4">
      <c r="H94" s="10"/>
      <c r="I94" s="10"/>
      <c r="J94" s="10"/>
      <c r="K94" s="10"/>
    </row>
    <row r="95" spans="2:18" ht="14.25" x14ac:dyDescent="0.4">
      <c r="H95" s="10"/>
      <c r="I95" s="10"/>
      <c r="J95" s="10"/>
      <c r="K95" s="10"/>
    </row>
    <row r="96" spans="2:18" ht="14.25" x14ac:dyDescent="0.4">
      <c r="H96" s="10"/>
      <c r="I96" s="10"/>
      <c r="J96" s="10"/>
      <c r="K96" s="10"/>
    </row>
    <row r="97" spans="8:11" ht="14.25" x14ac:dyDescent="0.4">
      <c r="H97" s="10"/>
      <c r="I97" s="10"/>
      <c r="J97" s="10"/>
      <c r="K97" s="10"/>
    </row>
    <row r="98" spans="8:11" ht="14.25" x14ac:dyDescent="0.4">
      <c r="H98" s="10"/>
      <c r="I98" s="10"/>
      <c r="J98" s="10"/>
      <c r="K98" s="10"/>
    </row>
    <row r="99" spans="8:11" ht="14.25" x14ac:dyDescent="0.4">
      <c r="H99" s="10"/>
      <c r="I99" s="10"/>
      <c r="J99" s="10"/>
      <c r="K99" s="10"/>
    </row>
    <row r="100" spans="8:11" ht="14.25" x14ac:dyDescent="0.4">
      <c r="H100" s="10"/>
      <c r="I100" s="10"/>
      <c r="J100" s="10"/>
      <c r="K100" s="10"/>
    </row>
    <row r="101" spans="8:11" ht="14.25" x14ac:dyDescent="0.4">
      <c r="H101" s="10"/>
      <c r="I101" s="10"/>
      <c r="J101" s="10"/>
      <c r="K101" s="10"/>
    </row>
    <row r="102" spans="8:11" ht="14.25" x14ac:dyDescent="0.4">
      <c r="H102" s="10"/>
      <c r="I102" s="10"/>
      <c r="J102" s="10"/>
      <c r="K102" s="10"/>
    </row>
    <row r="103" spans="8:11" ht="18" customHeight="1" x14ac:dyDescent="0.4">
      <c r="H103" s="10"/>
      <c r="I103" s="10"/>
      <c r="J103" s="10"/>
      <c r="K103" s="10"/>
    </row>
    <row r="104" spans="8:11" ht="18" customHeight="1" x14ac:dyDescent="0.4">
      <c r="H104" s="10"/>
      <c r="I104" s="10"/>
      <c r="J104" s="10"/>
      <c r="K104" s="10"/>
    </row>
    <row r="105" spans="8:11" ht="18" customHeight="1" x14ac:dyDescent="0.4">
      <c r="H105" s="10"/>
      <c r="I105" s="10"/>
      <c r="J105" s="10"/>
      <c r="K105" s="10"/>
    </row>
    <row r="106" spans="8:11" ht="18" customHeight="1" x14ac:dyDescent="0.4">
      <c r="H106" s="10"/>
      <c r="I106" s="10"/>
      <c r="J106" s="10"/>
      <c r="K106" s="10"/>
    </row>
    <row r="107" spans="8:11" ht="18" customHeight="1" x14ac:dyDescent="0.4">
      <c r="H107" s="10"/>
      <c r="I107" s="10"/>
      <c r="J107" s="10"/>
      <c r="K107" s="10"/>
    </row>
    <row r="108" spans="8:11" ht="18" customHeight="1" x14ac:dyDescent="0.4">
      <c r="H108" s="10"/>
      <c r="I108" s="10"/>
      <c r="J108" s="10"/>
      <c r="K108" s="10"/>
    </row>
    <row r="109" spans="8:11" ht="18" customHeight="1" x14ac:dyDescent="0.4">
      <c r="H109" s="10"/>
      <c r="I109" s="10"/>
      <c r="J109" s="10"/>
      <c r="K109" s="10"/>
    </row>
    <row r="110" spans="8:11" ht="18" customHeight="1" x14ac:dyDescent="0.4">
      <c r="H110" s="10"/>
      <c r="I110" s="10"/>
      <c r="J110" s="10"/>
      <c r="K110" s="10"/>
    </row>
    <row r="111" spans="8:11" ht="18" customHeight="1" x14ac:dyDescent="0.4">
      <c r="H111" s="10"/>
      <c r="I111" s="10"/>
      <c r="J111" s="10"/>
      <c r="K111" s="10"/>
    </row>
    <row r="112" spans="8:11" ht="18" customHeight="1" x14ac:dyDescent="0.4">
      <c r="H112" s="10"/>
      <c r="I112" s="10"/>
      <c r="J112" s="10"/>
      <c r="K112" s="10"/>
    </row>
    <row r="113" spans="8:11" ht="18" customHeight="1" x14ac:dyDescent="0.4">
      <c r="H113" s="10"/>
      <c r="I113" s="10"/>
      <c r="J113" s="10"/>
      <c r="K113" s="10"/>
    </row>
    <row r="114" spans="8:11" ht="18" customHeight="1" x14ac:dyDescent="0.4">
      <c r="H114" s="10"/>
      <c r="I114" s="10"/>
      <c r="J114" s="10"/>
      <c r="K114" s="10"/>
    </row>
    <row r="115" spans="8:11" ht="18" customHeight="1" x14ac:dyDescent="0.4">
      <c r="H115" s="10"/>
      <c r="I115" s="10"/>
      <c r="J115" s="10"/>
      <c r="K115" s="10"/>
    </row>
    <row r="116" spans="8:11" ht="18" customHeight="1" x14ac:dyDescent="0.4">
      <c r="H116" s="10"/>
      <c r="I116" s="10"/>
      <c r="J116" s="10"/>
      <c r="K116" s="10"/>
    </row>
    <row r="117" spans="8:11" ht="18" customHeight="1" x14ac:dyDescent="0.4">
      <c r="H117" s="10"/>
      <c r="I117" s="10"/>
      <c r="J117" s="10"/>
      <c r="K117" s="10"/>
    </row>
    <row r="118" spans="8:11" ht="18" customHeight="1" x14ac:dyDescent="0.4">
      <c r="H118" s="10"/>
      <c r="I118" s="10"/>
      <c r="J118" s="10"/>
      <c r="K118" s="10"/>
    </row>
    <row r="119" spans="8:11" ht="18" customHeight="1" x14ac:dyDescent="0.4">
      <c r="H119" s="10"/>
      <c r="I119" s="10"/>
      <c r="J119" s="10"/>
      <c r="K119" s="10"/>
    </row>
    <row r="120" spans="8:11" ht="18" customHeight="1" x14ac:dyDescent="0.4">
      <c r="H120" s="10"/>
      <c r="I120" s="10"/>
      <c r="J120" s="10"/>
      <c r="K120" s="10"/>
    </row>
    <row r="121" spans="8:11" ht="18" customHeight="1" x14ac:dyDescent="0.4">
      <c r="H121" s="10"/>
      <c r="I121" s="10"/>
      <c r="J121" s="10"/>
      <c r="K121" s="10"/>
    </row>
    <row r="122" spans="8:11" ht="18" customHeight="1" x14ac:dyDescent="0.4">
      <c r="H122" s="10"/>
      <c r="I122" s="10"/>
      <c r="J122" s="10"/>
      <c r="K122" s="10"/>
    </row>
    <row r="123" spans="8:11" ht="18" customHeight="1" x14ac:dyDescent="0.4">
      <c r="H123" s="10"/>
      <c r="I123" s="10"/>
      <c r="J123" s="10"/>
      <c r="K123" s="10"/>
    </row>
    <row r="124" spans="8:11" ht="18" customHeight="1" x14ac:dyDescent="0.4">
      <c r="H124" s="10"/>
      <c r="I124" s="10"/>
      <c r="J124" s="10"/>
      <c r="K124" s="10"/>
    </row>
    <row r="125" spans="8:11" ht="18" customHeight="1" x14ac:dyDescent="0.4">
      <c r="H125" s="10"/>
      <c r="I125" s="10"/>
      <c r="J125" s="10"/>
      <c r="K125" s="10"/>
    </row>
    <row r="126" spans="8:11" ht="18" customHeight="1" x14ac:dyDescent="0.4">
      <c r="H126" s="10"/>
      <c r="I126" s="10"/>
      <c r="J126" s="10"/>
      <c r="K126" s="10"/>
    </row>
    <row r="127" spans="8:11" ht="18" customHeight="1" x14ac:dyDescent="0.4">
      <c r="H127" s="10"/>
      <c r="I127" s="10"/>
      <c r="J127" s="10"/>
      <c r="K127" s="10"/>
    </row>
    <row r="128" spans="8:11" ht="18" customHeight="1" x14ac:dyDescent="0.4">
      <c r="H128" s="10"/>
      <c r="I128" s="10"/>
      <c r="J128" s="10"/>
      <c r="K128" s="10"/>
    </row>
    <row r="129" spans="8:11" ht="18" customHeight="1" x14ac:dyDescent="0.4">
      <c r="H129" s="10"/>
      <c r="I129" s="10"/>
      <c r="J129" s="10"/>
      <c r="K129" s="10"/>
    </row>
    <row r="130" spans="8:11" ht="18" customHeight="1" x14ac:dyDescent="0.4">
      <c r="H130" s="10"/>
      <c r="I130" s="10"/>
      <c r="J130" s="10"/>
      <c r="K130" s="10"/>
    </row>
    <row r="131" spans="8:11" ht="18" customHeight="1" x14ac:dyDescent="0.4">
      <c r="H131" s="10"/>
      <c r="I131" s="10"/>
      <c r="J131" s="10"/>
      <c r="K131" s="10"/>
    </row>
    <row r="132" spans="8:11" ht="18" customHeight="1" x14ac:dyDescent="0.4">
      <c r="H132" s="10"/>
      <c r="I132" s="10"/>
      <c r="J132" s="10"/>
      <c r="K132" s="10"/>
    </row>
    <row r="133" spans="8:11" ht="18" customHeight="1" x14ac:dyDescent="0.4">
      <c r="H133" s="10"/>
      <c r="I133" s="10"/>
      <c r="J133" s="10"/>
      <c r="K133" s="10"/>
    </row>
    <row r="134" spans="8:11" ht="18" customHeight="1" x14ac:dyDescent="0.4">
      <c r="H134" s="10"/>
      <c r="I134" s="10"/>
      <c r="J134" s="10"/>
      <c r="K134" s="10"/>
    </row>
    <row r="135" spans="8:11" ht="18" customHeight="1" x14ac:dyDescent="0.4">
      <c r="H135" s="10"/>
      <c r="I135" s="10"/>
      <c r="J135" s="10"/>
    </row>
    <row r="136" spans="8:11" ht="18" customHeight="1" x14ac:dyDescent="0.4">
      <c r="H136" s="10"/>
      <c r="I136" s="10"/>
      <c r="J136" s="10"/>
    </row>
    <row r="137" spans="8:11" ht="18" customHeight="1" x14ac:dyDescent="0.4">
      <c r="H137" s="10"/>
      <c r="I137" s="10"/>
      <c r="J137" s="10"/>
    </row>
    <row r="138" spans="8:11" ht="18" customHeight="1" x14ac:dyDescent="0.4">
      <c r="H138" s="10"/>
      <c r="I138" s="10"/>
      <c r="J138" s="10"/>
    </row>
    <row r="139" spans="8:11" ht="18" customHeight="1" x14ac:dyDescent="0.4">
      <c r="H139" s="10"/>
      <c r="I139" s="10"/>
      <c r="J139" s="10"/>
    </row>
    <row r="140" spans="8:11" ht="18" customHeight="1" x14ac:dyDescent="0.4">
      <c r="H140" s="10"/>
      <c r="I140" s="10"/>
      <c r="J140" s="10"/>
    </row>
    <row r="141" spans="8:11" ht="18" customHeight="1" x14ac:dyDescent="0.4">
      <c r="H141" s="10"/>
      <c r="I141" s="10"/>
      <c r="J141" s="10"/>
    </row>
    <row r="142" spans="8:11" ht="18" customHeight="1" x14ac:dyDescent="0.4">
      <c r="H142" s="10"/>
      <c r="I142" s="10"/>
      <c r="J142" s="10"/>
    </row>
  </sheetData>
  <sheetProtection algorithmName="SHA-512" hashValue="1GF/++gdiv1ZURtm8Ib2BboArC06Od0/z1vBfgTJP1ID6mUY1q1VKj0UqzPnmCLIGPGFtr8EVuOmpZf/DTU9rA==" saltValue="PbgPieuNogdIKVdXRpmiGQ==" spinCount="100000" sheet="1" objects="1" selectLockedCells="1"/>
  <mergeCells count="88">
    <mergeCell ref="AC9:AC10"/>
    <mergeCell ref="B1:G1"/>
    <mergeCell ref="B5:B6"/>
    <mergeCell ref="C5:C6"/>
    <mergeCell ref="N9:N10"/>
    <mergeCell ref="Q9:Q10"/>
    <mergeCell ref="T9:T10"/>
    <mergeCell ref="V9:V10"/>
    <mergeCell ref="W9:W10"/>
    <mergeCell ref="X9:X10"/>
    <mergeCell ref="Z9:Z10"/>
    <mergeCell ref="AB9:AB10"/>
    <mergeCell ref="Z11:Z12"/>
    <mergeCell ref="AB11:AB12"/>
    <mergeCell ref="AC11:AC12"/>
    <mergeCell ref="N13:N14"/>
    <mergeCell ref="Q13:Q14"/>
    <mergeCell ref="T13:T14"/>
    <mergeCell ref="V13:V14"/>
    <mergeCell ref="W13:W14"/>
    <mergeCell ref="X13:X14"/>
    <mergeCell ref="Z13:Z14"/>
    <mergeCell ref="N11:N12"/>
    <mergeCell ref="Q11:Q12"/>
    <mergeCell ref="T11:T12"/>
    <mergeCell ref="V11:V12"/>
    <mergeCell ref="W11:W12"/>
    <mergeCell ref="X11:X12"/>
    <mergeCell ref="AB13:AB14"/>
    <mergeCell ref="AC13:AC14"/>
    <mergeCell ref="N15:N16"/>
    <mergeCell ref="Q15:Q16"/>
    <mergeCell ref="T15:T16"/>
    <mergeCell ref="V15:V16"/>
    <mergeCell ref="W15:W16"/>
    <mergeCell ref="X15:X16"/>
    <mergeCell ref="Z15:Z16"/>
    <mergeCell ref="AB15:AB16"/>
    <mergeCell ref="AC15:AC16"/>
    <mergeCell ref="N17:N18"/>
    <mergeCell ref="Q17:Q18"/>
    <mergeCell ref="T17:T18"/>
    <mergeCell ref="V17:V18"/>
    <mergeCell ref="W17:W18"/>
    <mergeCell ref="AC17:AC18"/>
    <mergeCell ref="Z19:Z20"/>
    <mergeCell ref="AB19:AB20"/>
    <mergeCell ref="AC19:AC20"/>
    <mergeCell ref="X19:X20"/>
    <mergeCell ref="V21:V22"/>
    <mergeCell ref="W21:W22"/>
    <mergeCell ref="X17:X18"/>
    <mergeCell ref="Z17:Z18"/>
    <mergeCell ref="AB17:AB18"/>
    <mergeCell ref="N19:N20"/>
    <mergeCell ref="Q19:Q20"/>
    <mergeCell ref="T19:T20"/>
    <mergeCell ref="V19:V20"/>
    <mergeCell ref="W19:W20"/>
    <mergeCell ref="C26:D26"/>
    <mergeCell ref="AB21:AB22"/>
    <mergeCell ref="AC21:AC22"/>
    <mergeCell ref="N23:N24"/>
    <mergeCell ref="Q23:Q24"/>
    <mergeCell ref="T23:T24"/>
    <mergeCell ref="V23:V24"/>
    <mergeCell ref="W23:W24"/>
    <mergeCell ref="X23:X24"/>
    <mergeCell ref="Z23:Z24"/>
    <mergeCell ref="AB23:AB24"/>
    <mergeCell ref="X21:X22"/>
    <mergeCell ref="Z21:Z22"/>
    <mergeCell ref="N21:N22"/>
    <mergeCell ref="Q21:Q22"/>
    <mergeCell ref="T21:T22"/>
    <mergeCell ref="R27:R28"/>
    <mergeCell ref="T27:T28"/>
    <mergeCell ref="X27:X28"/>
    <mergeCell ref="AC23:AC24"/>
    <mergeCell ref="N25:N26"/>
    <mergeCell ref="Q25:Q26"/>
    <mergeCell ref="T25:T26"/>
    <mergeCell ref="X25:X26"/>
    <mergeCell ref="C28:D28"/>
    <mergeCell ref="N39:O39"/>
    <mergeCell ref="N27:N28"/>
    <mergeCell ref="O27:O28"/>
    <mergeCell ref="Q27:Q28"/>
  </mergeCells>
  <phoneticPr fontId="4"/>
  <dataValidations xWindow="214" yWindow="281" count="7">
    <dataValidation type="whole" allowBlank="1" showInputMessage="1" showErrorMessage="1" errorTitle="　***　***　***　お　願　い　***　***　***" error="0円～999,999,999円の間で入力してください_x000a__x000a_　その他の所得にマイナスがある場合は、_x000a_　市民税係までお問い合わせください" sqref="F15:F22" xr:uid="{00000000-0002-0000-0000-000000000000}">
      <formula1>0</formula1>
      <formula2>999999999</formula2>
    </dataValidation>
    <dataValidation type="whole" allowBlank="1" showInputMessage="1" showErrorMessage="1" errorTitle="** ** ** **  お　願　い  ** ** ** **" error="0円～999,999,999円の間で入力してください" sqref="D15:E22" xr:uid="{00000000-0002-0000-0000-000001000000}">
      <formula1>0</formula1>
      <formula2>999999999</formula2>
    </dataValidation>
    <dataValidation type="list" allowBlank="1" showInputMessage="1" showErrorMessage="1" sqref="C9:C11 C5:C6" xr:uid="{00000000-0002-0000-0000-000002000000}">
      <formula1>$X$63:$X$74</formula1>
    </dataValidation>
    <dataValidation type="whole" allowBlank="1" showInputMessage="1" showErrorMessage="1" errorTitle=" ** ** ** ** お　願　い ** ** ** ** " error="０歳から７４歳までの年齢を入力してください。_x000a__x000a_加入されない欄に誤って年齢を入力された場合は、_x000a_｢Delete｣キーで削除してください。" promptTitle="　**　**　年齢を入力してください　**　**　" prompt="_x000a_　　加入される方の年齢を入力してください_x000a__x000a_　　国民健康保険に加入できるのは_x000a_　　０歳から７４歳までの方です_x000a__x000a_　　誤った欄に年齢を入力された場合は、_x000a_　　｢Delete｣キーで年齢を削除してください_x000a_　　※加入の状況欄が｢国保加入」となっていると、_x000a_　　　 加入者として国保税を計算します。" sqref="C23" xr:uid="{00000000-0002-0000-0000-000003000000}">
      <formula1>0</formula1>
      <formula2>74</formula2>
    </dataValidation>
    <dataValidation type="whole" allowBlank="1" showInputMessage="1" showErrorMessage="1" errorTitle="***　お　願　い　***" error="0円～999,999,999円の間で入力してください" sqref="D23:F23" xr:uid="{00000000-0002-0000-0000-000004000000}">
      <formula1>0</formula1>
      <formula2>999999999</formula2>
    </dataValidation>
    <dataValidation type="list" allowBlank="1" showInputMessage="1" showErrorMessage="1" sqref="G15:G23" xr:uid="{00000000-0002-0000-0000-000005000000}">
      <formula1>$S$55:$S$56</formula1>
    </dataValidation>
    <dataValidation type="whole" allowBlank="1" showInputMessage="1" showErrorMessage="1" errorTitle="** ** ** **  お　願　い  ** ** ** ** " error="０歳から７４歳までの年齢を入力してください。_x000a_※７５歳以上の人は後期高齢者医療保険に加入します。_x000a__x000a_加入されない欄に誤って年齢を入力された場合は、_x000a_｢Delete｣キーで削除してください。" promptTitle="　**　**　年齢を入力してください　**　**　" prompt="      加入される人の年齢を入力してください。_x000a__x000a_　　　国民健康保険に加入できるのは_x000a_　　　０歳から７４歳までの人です。_x000a__x000a_　　収入、所得の入力があっても年齢欄の入力が_x000a_　　ない場合は、その人の国保税を計算しません。_x000a__x000a_　　また、誤った欄に年齢を入力された場合は、_x000a_　　｢Delete｣キーで年齢を削除してください。" sqref="C15:C22" xr:uid="{00000000-0002-0000-0000-000006000000}">
      <formula1>0</formula1>
      <formula2>74</formula2>
    </dataValidation>
  </dataValidation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府中市国保税2026年度</vt:lpstr>
      <vt:lpstr>府中市国保税2026年度!Print_Area</vt:lpstr>
      <vt:lpstr>府中市国保税2026年度!加入月</vt:lpstr>
      <vt:lpstr>府中市国保税2026年度!給与</vt:lpstr>
      <vt:lpstr>府中市国保税2026年度!年金64歳まで</vt:lpstr>
      <vt:lpstr>府中市国保税2026年度!年金65歳以上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jfuc003</cp:lastModifiedBy>
  <cp:lastPrinted>2023-06-27T01:40:44Z</cp:lastPrinted>
  <dcterms:created xsi:type="dcterms:W3CDTF">2022-06-23T02:28:42Z</dcterms:created>
  <dcterms:modified xsi:type="dcterms:W3CDTF">2026-05-29T00:33:24Z</dcterms:modified>
</cp:coreProperties>
</file>